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120" yWindow="30" windowWidth="11595" windowHeight="5385" tabRatio="944" activeTab="6"/>
  </bookViews>
  <sheets>
    <sheet name="Start" sheetId="1" r:id="rId1"/>
    <sheet name="AV" sheetId="2" r:id="rId2"/>
    <sheet name="Einkauf" sheetId="3" r:id="rId3"/>
    <sheet name="Anfrage" sheetId="4" r:id="rId4"/>
    <sheet name="Bestellung" sheetId="5" r:id="rId5"/>
    <sheet name="LieferscheinLieferant" sheetId="6" r:id="rId6"/>
    <sheet name="RechnungLieferant" sheetId="7" r:id="rId7"/>
    <sheet name="Verkauf" sheetId="8" r:id="rId8"/>
    <sheet name="Angebot" sheetId="9" r:id="rId9"/>
    <sheet name="Auftragsbestätigung" sheetId="10" r:id="rId10"/>
    <sheet name="Lieferschein" sheetId="11" r:id="rId11"/>
    <sheet name="Rechnung" sheetId="12" r:id="rId12"/>
    <sheet name="Artikel" sheetId="13" r:id="rId13"/>
    <sheet name="Lieferanten" sheetId="14" r:id="rId14"/>
    <sheet name="Kunden" sheetId="15" r:id="rId15"/>
    <sheet name="Sonstiges" sheetId="16" r:id="rId16"/>
  </sheets>
  <externalReferences>
    <externalReference r:id="rId19"/>
  </externalReferences>
  <definedNames>
    <definedName name="ANR">'Artikel'!$A$3:$A$35</definedName>
    <definedName name="Artikel">'Artikel'!$A$3:$I$35</definedName>
    <definedName name="BeraterEinkauf">'Sonstiges'!$A$3:$E$5</definedName>
    <definedName name="BeraterVerkauf">'Sonstiges'!$A$8:$E$10</definedName>
    <definedName name="Bezugskosten">'Lieferanten'!$A$93:$M$127</definedName>
    <definedName name="KNR">'Kunden'!$A$4:$A$13</definedName>
    <definedName name="Kunden">'Kunden'!$A$4:$I$13</definedName>
    <definedName name="LiefANR">'Lieferanten'!$A$198:$M$232</definedName>
    <definedName name="Lieferanten">'Lieferanten'!$A$4:$K$14</definedName>
    <definedName name="LiefererANR">'[1]Lieferanten'!$A$200:$M$234</definedName>
    <definedName name="Listenpreise">'Lieferanten'!$A$58:$M$92</definedName>
    <definedName name="LNR">'Lieferanten'!$A$4:$A$14</definedName>
    <definedName name="Packungsgrößen">'Lieferanten'!$A$128:$M$162</definedName>
    <definedName name="Rabatte">'Lieferanten'!$A$163:$M$197</definedName>
    <definedName name="Versandart">'Sonstiges'!$B$13:$B$15</definedName>
    <definedName name="werliefertwas">'Lieferanten'!$B$20:$E$53</definedName>
  </definedNames>
  <calcPr fullCalcOnLoad="1"/>
</workbook>
</file>

<file path=xl/sharedStrings.xml><?xml version="1.0" encoding="utf-8"?>
<sst xmlns="http://schemas.openxmlformats.org/spreadsheetml/2006/main" count="627" uniqueCount="407">
  <si>
    <t>Art.-
Nr.</t>
  </si>
  <si>
    <t>Artikelbezeichnung</t>
  </si>
  <si>
    <t>Pck.-
größe</t>
  </si>
  <si>
    <t>Vk-Preis</t>
  </si>
  <si>
    <t>In-
ventur</t>
  </si>
  <si>
    <t>Melde-
bestand</t>
  </si>
  <si>
    <t>Höchst-
bestand</t>
  </si>
  <si>
    <t>Warenbestand</t>
  </si>
  <si>
    <t>Kunden-Nr.</t>
  </si>
  <si>
    <t>Firma</t>
  </si>
  <si>
    <t>Straße</t>
  </si>
  <si>
    <t>Ort</t>
  </si>
  <si>
    <t>Telefon</t>
  </si>
  <si>
    <t>Rabatt</t>
  </si>
  <si>
    <t>Willi Schulze e. Kfm.</t>
  </si>
  <si>
    <t>Markt 37</t>
  </si>
  <si>
    <t>59494 Soest</t>
  </si>
  <si>
    <t>(0 29 21) 1 45 23</t>
  </si>
  <si>
    <t>Gebr. Neuköster OHG</t>
  </si>
  <si>
    <t>Am Kloster 4</t>
  </si>
  <si>
    <t>59457 Werl</t>
  </si>
  <si>
    <t>(0 29 22) 3 23 12</t>
  </si>
  <si>
    <t>Maria Stenzel e. K.</t>
  </si>
  <si>
    <t>Märkische Str. 47</t>
  </si>
  <si>
    <t>44141 Dortmund</t>
  </si>
  <si>
    <t>(02 31) 56 90 01</t>
  </si>
  <si>
    <t>Kaufmarkt AG</t>
  </si>
  <si>
    <t>Teutoburger Weg 12</t>
  </si>
  <si>
    <t>33604 Bielefeld</t>
  </si>
  <si>
    <t>(05 21) 34 88 77</t>
  </si>
  <si>
    <t>Albert Schüler OHG</t>
  </si>
  <si>
    <t>Hellweg 89</t>
  </si>
  <si>
    <t>44787 Bochum</t>
  </si>
  <si>
    <t>(02 34) 66 10 20</t>
  </si>
  <si>
    <t>Buschgarten KG</t>
  </si>
  <si>
    <t>Telgter Str. 1</t>
  </si>
  <si>
    <t>48167 Münster</t>
  </si>
  <si>
    <t>(02 51) 4 70 10</t>
  </si>
  <si>
    <t>Schreiter GmbH</t>
  </si>
  <si>
    <t>Petrikirchplatz 3</t>
  </si>
  <si>
    <t>(0 29 21) 34 21-0</t>
  </si>
  <si>
    <t>STRATMANN GMBH</t>
  </si>
  <si>
    <t>Groß- und Außenhandel für Schreibwaren</t>
  </si>
  <si>
    <t>Stratmann GmbH * Hattroper Weg 16 * 59494 Soest</t>
  </si>
  <si>
    <t>Ihr Zeichen, Best.-Nr.</t>
  </si>
  <si>
    <t>Telefon, Name</t>
  </si>
  <si>
    <t>Soest</t>
  </si>
  <si>
    <t>Versandart</t>
  </si>
  <si>
    <t>Versandanschrift</t>
  </si>
  <si>
    <t>Pos.</t>
  </si>
  <si>
    <t>Artikel-Nr.</t>
  </si>
  <si>
    <t>Menge/Einheit</t>
  </si>
  <si>
    <t>Einzelpreis</t>
  </si>
  <si>
    <t>Es gelten die vereinbarten Lieferungs- und Zahlungsbedingungen.</t>
  </si>
  <si>
    <t>Geschäftsräume</t>
  </si>
  <si>
    <t>Bankverbindung</t>
  </si>
  <si>
    <t>Handelsregister</t>
  </si>
  <si>
    <t>Geschäftsführer</t>
  </si>
  <si>
    <t>Hattroper Weg 16</t>
  </si>
  <si>
    <t>Sparkasse Soest</t>
  </si>
  <si>
    <t>Amtsgericht Soest</t>
  </si>
  <si>
    <t>Werner Stratmann</t>
  </si>
  <si>
    <t>Kto.-Nr. 950126001</t>
  </si>
  <si>
    <t>HRB 807</t>
  </si>
  <si>
    <t>Erich Stratmann</t>
  </si>
  <si>
    <t>Tel: 02921 1846-0</t>
  </si>
  <si>
    <t>BLZ 414 500 75</t>
  </si>
  <si>
    <t>USt-Id Nr.: DE 811844683</t>
  </si>
  <si>
    <t>Gesamt</t>
  </si>
  <si>
    <t>Skonto bis</t>
  </si>
  <si>
    <t>Auftragsbearbeitung Stratmann GmbH</t>
  </si>
  <si>
    <t>Kundennummer:</t>
  </si>
  <si>
    <t>Kunde:</t>
  </si>
  <si>
    <t>Straße:</t>
  </si>
  <si>
    <t>PLZ - Ort:</t>
  </si>
  <si>
    <t>Produktnummer:</t>
  </si>
  <si>
    <t>Artikel 1:</t>
  </si>
  <si>
    <t>Artikel 2:</t>
  </si>
  <si>
    <t>Lieferbedingungen:</t>
  </si>
  <si>
    <t>Frei Haus Lieferung</t>
  </si>
  <si>
    <t>Eigene Abholung durch Spedition</t>
  </si>
  <si>
    <t>Frei Bahnhof Lieferort</t>
  </si>
  <si>
    <t>36, Mayfair Lane</t>
  </si>
  <si>
    <t>004471 4091355</t>
  </si>
  <si>
    <t>Lief.-Nr.</t>
  </si>
  <si>
    <t>Kohler AG</t>
  </si>
  <si>
    <t>Ralken GmbH</t>
  </si>
  <si>
    <t>Mabox KG</t>
  </si>
  <si>
    <t>Kiebes GmbH &amp; Co. KG</t>
  </si>
  <si>
    <t>Lieferanten Stratmann GmbH</t>
  </si>
  <si>
    <t>Bank</t>
  </si>
  <si>
    <t>August Reiter KG</t>
  </si>
  <si>
    <t>Sparkasse Odenwaldkreis</t>
  </si>
  <si>
    <t>Schreib- und Zeichengeräte</t>
  </si>
  <si>
    <t>Landweg 17</t>
  </si>
  <si>
    <t>64395 Brensbach</t>
  </si>
  <si>
    <t>Karl Linz GmbH</t>
  </si>
  <si>
    <t>Volksbank Nürnberg</t>
  </si>
  <si>
    <t>Moderne Schreibgeräte</t>
  </si>
  <si>
    <t>Goldberger Str. 11</t>
  </si>
  <si>
    <t>90473 Nürnberg</t>
  </si>
  <si>
    <t>Rössler-Papier GmbH</t>
  </si>
  <si>
    <t>Kreissparkasse Düren</t>
  </si>
  <si>
    <t>Münster Str. 42</t>
  </si>
  <si>
    <t>52353 Düren</t>
  </si>
  <si>
    <t>Deutsche Bank AG Oberkirch</t>
  </si>
  <si>
    <t>Papierfabrik</t>
  </si>
  <si>
    <t>Hauptstr. 2</t>
  </si>
  <si>
    <t>77704 Oberkirch</t>
  </si>
  <si>
    <t>Ditzinger Bank Ditzingen</t>
  </si>
  <si>
    <t>Registraturen</t>
  </si>
  <si>
    <t>Am Bahnhof 5</t>
  </si>
  <si>
    <t>71254 Ditzingen</t>
  </si>
  <si>
    <t>Commerzbank AG Göttingen</t>
  </si>
  <si>
    <t>Ordner-Fabrik</t>
  </si>
  <si>
    <t>Gänseplan 75</t>
  </si>
  <si>
    <t>37083 Göttingen</t>
  </si>
  <si>
    <t>Dresdner Bank AG Erlangen</t>
  </si>
  <si>
    <t>Bürogerätehersteller</t>
  </si>
  <si>
    <t>Ulmenweg 2</t>
  </si>
  <si>
    <t>91054 Erlangen</t>
  </si>
  <si>
    <t>Erwin Sapp e. K.</t>
  </si>
  <si>
    <t>Bürogeräte</t>
  </si>
  <si>
    <t>Zweifaller Weg 12</t>
  </si>
  <si>
    <t>52393 Hürtgenwald</t>
  </si>
  <si>
    <t>Rappel-Plastik GmbH</t>
  </si>
  <si>
    <t>Stadtsparkasse Kierspe</t>
  </si>
  <si>
    <t>Strandbadweg 16</t>
  </si>
  <si>
    <t>58566 Kierspe</t>
  </si>
  <si>
    <t>Heinz Bastek OHG</t>
  </si>
  <si>
    <t>Bank für Gemeinwirtschaft Kassel</t>
  </si>
  <si>
    <t>Kunststoffwerk</t>
  </si>
  <si>
    <t>Holzhauser Str. 62</t>
  </si>
  <si>
    <t>34127 Kassel</t>
  </si>
  <si>
    <t>Gebr. Bauser OHG</t>
  </si>
  <si>
    <t>Deutsche Bank AG Hamburg</t>
  </si>
  <si>
    <t>Import/Export</t>
  </si>
  <si>
    <t>Alsterterrasse 2</t>
  </si>
  <si>
    <t>20354 Hamburg</t>
  </si>
  <si>
    <t>Firmenzusatz</t>
  </si>
  <si>
    <t>PLZ - Ort</t>
  </si>
  <si>
    <t>KNR</t>
  </si>
  <si>
    <t>BLZ</t>
  </si>
  <si>
    <t>Deutsche Bank AG Werl</t>
  </si>
  <si>
    <t>Allbank Dortmund</t>
  </si>
  <si>
    <t>Dresdner Bank AG Bielefeld</t>
  </si>
  <si>
    <t>Westfalenbank Bochum</t>
  </si>
  <si>
    <t>Stadtsparkasse Münster</t>
  </si>
  <si>
    <t>Barclays Bank London</t>
  </si>
  <si>
    <t>1 504 639</t>
  </si>
  <si>
    <t>6 594 911</t>
  </si>
  <si>
    <t>3 452 178</t>
  </si>
  <si>
    <t>100 100</t>
  </si>
  <si>
    <t>4 505 667</t>
  </si>
  <si>
    <t>12-156847</t>
  </si>
  <si>
    <t>414 500 75</t>
  </si>
  <si>
    <t>416 700 29</t>
  </si>
  <si>
    <t>250 206 00</t>
  </si>
  <si>
    <t>480 800 20</t>
  </si>
  <si>
    <t>430 200 00</t>
  </si>
  <si>
    <t>400 501 00</t>
  </si>
  <si>
    <t>Kunden Stratmann GmbH</t>
  </si>
  <si>
    <t>9 904 512</t>
  </si>
  <si>
    <t>508 519 52</t>
  </si>
  <si>
    <t>760 900 00</t>
  </si>
  <si>
    <t>395 501 10</t>
  </si>
  <si>
    <t>664 700 35</t>
  </si>
  <si>
    <t>600 623 98</t>
  </si>
  <si>
    <t>260 400 30</t>
  </si>
  <si>
    <t>760 800 40</t>
  </si>
  <si>
    <t>731 500 00</t>
  </si>
  <si>
    <t>520 101 11</t>
  </si>
  <si>
    <t>200 700 00</t>
  </si>
  <si>
    <t>190 789</t>
  </si>
  <si>
    <t>23 476 590</t>
  </si>
  <si>
    <t>5 001 012</t>
  </si>
  <si>
    <t>110 290</t>
  </si>
  <si>
    <t>432 800</t>
  </si>
  <si>
    <t>210 100 101</t>
  </si>
  <si>
    <t>230 560 123</t>
  </si>
  <si>
    <t>110 500</t>
  </si>
  <si>
    <t>220 440 100</t>
  </si>
  <si>
    <t>330 400 101</t>
  </si>
  <si>
    <t>430 300 100</t>
  </si>
  <si>
    <t>06161 2502</t>
  </si>
  <si>
    <t>02421 6109</t>
  </si>
  <si>
    <t>07802 810</t>
  </si>
  <si>
    <t>07156 8019</t>
  </si>
  <si>
    <t>02269 859</t>
  </si>
  <si>
    <t>0561 20912</t>
  </si>
  <si>
    <t xml:space="preserve"> 040 87033</t>
  </si>
  <si>
    <t>0911 232766</t>
  </si>
  <si>
    <t>0551 53052</t>
  </si>
  <si>
    <t>09131 72029</t>
  </si>
  <si>
    <t>02429 4777</t>
  </si>
  <si>
    <t>Artikelrabatte für die Warengruppen</t>
  </si>
  <si>
    <t>W1</t>
  </si>
  <si>
    <t>W2</t>
  </si>
  <si>
    <t>W3</t>
  </si>
  <si>
    <t>W4</t>
  </si>
  <si>
    <t>W5</t>
  </si>
  <si>
    <t>Kundenrabatt:</t>
  </si>
  <si>
    <t>Artikel 3:</t>
  </si>
  <si>
    <t>Artikel 4:</t>
  </si>
  <si>
    <t>Artikel 5:</t>
  </si>
  <si>
    <t>Packungsgröße</t>
  </si>
  <si>
    <t>Stückzahl</t>
  </si>
  <si>
    <t>Auftragsnummer:</t>
  </si>
  <si>
    <t>vorhandene Menge</t>
  </si>
  <si>
    <t>Sachbearbeiter:</t>
  </si>
  <si>
    <t>Auftragsbestätigungs- Nr.</t>
  </si>
  <si>
    <t>Ihr Zeichen</t>
  </si>
  <si>
    <t>Versandart:</t>
  </si>
  <si>
    <t>London W1X 3RB Great Britain</t>
  </si>
  <si>
    <t>Artikelrabatt:</t>
  </si>
  <si>
    <t>Zahlungsbedingungen:</t>
  </si>
  <si>
    <t>Ziel</t>
  </si>
  <si>
    <t>Modern Office Ltd. Office Supplies</t>
  </si>
  <si>
    <t>Bemerkungen:</t>
  </si>
  <si>
    <t xml:space="preserve">Sie erhalten den gewünschten Rabatt in Höhe von </t>
  </si>
  <si>
    <t>Lieferschein-Nr.</t>
  </si>
  <si>
    <t xml:space="preserve">s. o. </t>
  </si>
  <si>
    <t>Liefschein-Nr.</t>
  </si>
  <si>
    <t>Rechnungs-Nr.</t>
  </si>
  <si>
    <t>Gesamtpreis:</t>
  </si>
  <si>
    <t>Kundenrabattsatz:</t>
  </si>
  <si>
    <t>Rabatt in (€)</t>
  </si>
  <si>
    <t>Nettpreis</t>
  </si>
  <si>
    <t>MwSt:</t>
  </si>
  <si>
    <t>Bruttopreis:</t>
  </si>
  <si>
    <t>Skontobetrag:</t>
  </si>
  <si>
    <t>abz. Skonto zahlbar:</t>
  </si>
  <si>
    <t>Steuernummer:</t>
  </si>
  <si>
    <t>343/0908/1011</t>
  </si>
  <si>
    <t>Soest,</t>
  </si>
  <si>
    <t>Angebotsnummer</t>
  </si>
  <si>
    <t>Sehr geehrte Damen und Herren</t>
  </si>
  <si>
    <t>vielen Dank für Ihr Interesse an unseren Produkten. Die gewünschten Artikel können wir Ihnen zu den</t>
  </si>
  <si>
    <t>aufgeführten Konditionen kurzfristig liefern.</t>
  </si>
  <si>
    <t>Die Lieferung erfolgt sofort per Lkw frei Haus. Das Zahlungsziel beträgt 30 Tage. Innerhalb</t>
  </si>
  <si>
    <t>Freundliche Grüße</t>
  </si>
  <si>
    <t>Stratmann GmbH</t>
  </si>
  <si>
    <t>B. Schulze</t>
  </si>
  <si>
    <t>i. A. Britta Schulze</t>
  </si>
  <si>
    <r>
      <t>von</t>
    </r>
    <r>
      <rPr>
        <sz val="10"/>
        <color indexed="8"/>
        <rFont val="Arial"/>
        <family val="2"/>
      </rPr>
      <t xml:space="preserve"> 14 Tagen erhalten Sie 3 % Skonto.</t>
    </r>
  </si>
  <si>
    <t>Wer liefert was?</t>
  </si>
  <si>
    <t>Listenpreise</t>
  </si>
  <si>
    <t>Bezugskosten</t>
  </si>
  <si>
    <t>Pack.größen</t>
  </si>
  <si>
    <t>Rabatte</t>
  </si>
  <si>
    <t>ArtNr</t>
  </si>
  <si>
    <t>Lieferer 1</t>
  </si>
  <si>
    <t>Lieferer 2</t>
  </si>
  <si>
    <t>Lieferer 3</t>
  </si>
  <si>
    <t>Nr</t>
  </si>
  <si>
    <t>Kohlepapier A4, 100 Blatt je Schachtel</t>
  </si>
  <si>
    <t>Datumbänderstempel Nr. 3 832</t>
  </si>
  <si>
    <t>Stempelkissen ST 2</t>
  </si>
  <si>
    <t>Heftzange Nr. 60 003</t>
  </si>
  <si>
    <t>Heftgerät Nr. 3 155</t>
  </si>
  <si>
    <t>Heftklammern 24/6, 1000 Stück je Schachtel</t>
  </si>
  <si>
    <t>Heftklammernentferner, einfach</t>
  </si>
  <si>
    <t>Locher Nr. 5 028</t>
  </si>
  <si>
    <t>Locher Nr. 5 180 mit Anschlagschiene</t>
  </si>
  <si>
    <t>Briefkörbe in Gitterform</t>
  </si>
  <si>
    <t>Briefkörbe, stapelbar, 6 Farben</t>
  </si>
  <si>
    <t>Papierkorb Nr. 201</t>
  </si>
  <si>
    <t>Sicherheitspapierkorb, schwer brennbar</t>
  </si>
  <si>
    <t>Bleistifte, alle Härtegrade, im Dutzend</t>
  </si>
  <si>
    <t>Druckkugelschreiber Nr. 460, 2-farbig</t>
  </si>
  <si>
    <t>Briefordner A4, Nr. 1 080, schmal, 52 mm</t>
  </si>
  <si>
    <t>Briefordner A4, Nr. 1 090, breit, 80 mm</t>
  </si>
  <si>
    <t>Ordner-Register A4, Nr. 6 001, A-Z, 25 Blatt</t>
  </si>
  <si>
    <t>Ordner-Register A4, Nr. 6 024, blanko, 25 Blatt</t>
  </si>
  <si>
    <t>Einkaufssachbearbeitung Stratmann GmbH</t>
  </si>
  <si>
    <t>Lieferantennummer</t>
  </si>
  <si>
    <t>Anfragenummer</t>
  </si>
  <si>
    <t>Angebotsvergleich</t>
  </si>
  <si>
    <t>Eingabebereich:</t>
  </si>
  <si>
    <t>Artikelnummer:</t>
  </si>
  <si>
    <t>Listeneinkaufspreis</t>
  </si>
  <si>
    <t xml:space="preserve"> - Rabatt</t>
  </si>
  <si>
    <t xml:space="preserve"> - Skonto</t>
  </si>
  <si>
    <t xml:space="preserve"> + Bezugskosten</t>
  </si>
  <si>
    <t>Packungsgröße des Lieferers</t>
  </si>
  <si>
    <t xml:space="preserve">Artikelbezeichnung:  </t>
  </si>
  <si>
    <t>Packungsgröße:</t>
  </si>
  <si>
    <t>Ausgabebereich:</t>
  </si>
  <si>
    <t>Lieferernummer</t>
  </si>
  <si>
    <t>Eingabe</t>
  </si>
  <si>
    <t>Berechnung</t>
  </si>
  <si>
    <t>Zieleinkaufspreis</t>
  </si>
  <si>
    <t>Bareinkaufspreis</t>
  </si>
  <si>
    <t>Einstandspreis</t>
  </si>
  <si>
    <t>Unsere Packungsgröße</t>
  </si>
  <si>
    <t>Unser Einstandspreis</t>
  </si>
  <si>
    <t>Lieferanten-Nr.</t>
  </si>
  <si>
    <t>Sehr geehrte Damen und Herren,</t>
  </si>
  <si>
    <t>da unser Lagerbestand zur Neige geht, benötigen wir dringend</t>
  </si>
  <si>
    <t>Artikelbeschreibung</t>
  </si>
  <si>
    <t>Menge</t>
  </si>
  <si>
    <t xml:space="preserve">Bitte senden Sie uns ein ausführliches Angebot unter Angabe Ihrer genauen </t>
  </si>
  <si>
    <t xml:space="preserve">Zahlungs- und Lieferbedingungen. </t>
  </si>
  <si>
    <t>Sehr geehrte Damen und Herren!</t>
  </si>
  <si>
    <t>Wir bestellen zu den unten angegebenen Konditionen:</t>
  </si>
  <si>
    <t>Liefertermin</t>
  </si>
  <si>
    <t>per LKW</t>
  </si>
  <si>
    <t>s. o.</t>
  </si>
  <si>
    <t>sofort</t>
  </si>
  <si>
    <t>Menge/
Einheit</t>
  </si>
  <si>
    <t>Einzel-
preis</t>
  </si>
  <si>
    <t>Versand-
kosten</t>
  </si>
  <si>
    <t>Es gelten die vereinbarten Liefer- und Zahlungsbedingungen</t>
  </si>
  <si>
    <t>Lieferant</t>
  </si>
  <si>
    <t>Lieferschein</t>
  </si>
  <si>
    <t>Ware ordnungsgemäß kontrolliert und übergeben.</t>
  </si>
  <si>
    <t>Es gelten die vereinbarten Zahlugns- und Lieferbedingungen.</t>
  </si>
  <si>
    <t>Bestell-
menge</t>
  </si>
  <si>
    <t>Artikel-
bezeichnung</t>
  </si>
  <si>
    <t>Lieferer
ANR</t>
  </si>
  <si>
    <t>Artikel-
rabatt</t>
  </si>
  <si>
    <t>Best.NR:</t>
  </si>
  <si>
    <t>Druckkugelschreiber Nr. 200</t>
  </si>
  <si>
    <t>Farbstifte, 6 Farben im Metalletui</t>
  </si>
  <si>
    <t>Farbstifte, 18 Farben im Metalletui</t>
  </si>
  <si>
    <t xml:space="preserve">Kugelstift, Mine nicht wechselbar </t>
  </si>
  <si>
    <t>Druckkugelschreiber Nr. 15</t>
  </si>
  <si>
    <t>Schreibset Vector, Füllhalter F 01 und Rollerball T 01</t>
  </si>
  <si>
    <t>Ersatzmine Nr. 75</t>
  </si>
  <si>
    <t xml:space="preserve">Tintenkugelschreiber, Uni Ball, UB 100 </t>
  </si>
  <si>
    <t>Textliner Nr. 48, mehrere Farben</t>
  </si>
  <si>
    <t>Bleistiftspitzer KUM 400, Leichtmetall</t>
  </si>
  <si>
    <t>Schreibmaschinenpapier A4, 100 Blatt je Packung</t>
  </si>
  <si>
    <t>Schreibblock A4, 50 Blatt</t>
  </si>
  <si>
    <t>Notizblock A5, 50  Blatt</t>
  </si>
  <si>
    <t>Schnellhefter A4 aus Karton</t>
  </si>
  <si>
    <t>Zahlung binnen 14 Tagen mit 3 % Skonto. 30 Tage netto Kasse.</t>
  </si>
  <si>
    <t>Skonto</t>
  </si>
  <si>
    <t>Lieferantenskonto:</t>
  </si>
  <si>
    <t>Grabbe</t>
  </si>
  <si>
    <t>322 Nicole Grabbe</t>
  </si>
  <si>
    <t>N. Grabbe</t>
  </si>
  <si>
    <t>i. A. Nicole Grabbe</t>
  </si>
  <si>
    <t>Schefer</t>
  </si>
  <si>
    <t>309 Evelyn Schefer</t>
  </si>
  <si>
    <t>E. Schefer</t>
  </si>
  <si>
    <t>i. A. Evelyn Schefer</t>
  </si>
  <si>
    <t>Meyer</t>
  </si>
  <si>
    <t>312 Hans Meyer</t>
  </si>
  <si>
    <t>H. Meyer</t>
  </si>
  <si>
    <t>i. A. Hans Meyer</t>
  </si>
  <si>
    <t>max.
Bestand</t>
  </si>
  <si>
    <t>LiefANR</t>
  </si>
  <si>
    <t>vorh.
Menge</t>
  </si>
  <si>
    <t>Kernen</t>
  </si>
  <si>
    <t>Lehmann</t>
  </si>
  <si>
    <t>Schulze</t>
  </si>
  <si>
    <t>409 Willi Kernen</t>
  </si>
  <si>
    <t>W. Kernen</t>
  </si>
  <si>
    <t>i. A. Willi Kernen</t>
  </si>
  <si>
    <t>458 Britta Schulze</t>
  </si>
  <si>
    <t>418 Jochen Lehmann</t>
  </si>
  <si>
    <t>J. Lehmann</t>
  </si>
  <si>
    <t>i. A. Jochen Lehmann</t>
  </si>
  <si>
    <t>Mitarbeiter Einkauf:</t>
  </si>
  <si>
    <t>Mitarbeiter Verkauf</t>
  </si>
  <si>
    <t>ANR</t>
  </si>
  <si>
    <t>Artikel  3:</t>
  </si>
  <si>
    <t>Produktnummer</t>
  </si>
  <si>
    <t>Rechnung</t>
  </si>
  <si>
    <t>Ek-Preis
brutto</t>
  </si>
  <si>
    <t xml:space="preserve"> </t>
  </si>
  <si>
    <t>Spaltennummer</t>
  </si>
  <si>
    <t>eigene Pck.größe</t>
  </si>
  <si>
    <t>ZEP</t>
  </si>
  <si>
    <t>LEP</t>
  </si>
  <si>
    <t>BEP</t>
  </si>
  <si>
    <t>Preis unsere Pck.größe</t>
  </si>
  <si>
    <t>fremde Pck.größe</t>
  </si>
  <si>
    <t>Bezugs-preis</t>
  </si>
  <si>
    <t>strat_0123</t>
  </si>
  <si>
    <t>ihr Preis</t>
  </si>
  <si>
    <t>anteiliger Transport:</t>
  </si>
  <si>
    <t>Menge
Lieferer</t>
  </si>
  <si>
    <t>Lieferantenrabatt:</t>
  </si>
  <si>
    <t>Nettopreis I:</t>
  </si>
  <si>
    <t>Nettopreis II:</t>
  </si>
  <si>
    <t>Buchungen:</t>
  </si>
  <si>
    <t>1) Eingangsrechnung</t>
  </si>
  <si>
    <t>6060 Wareneingang</t>
  </si>
  <si>
    <t>2600 Vorsteuer</t>
  </si>
  <si>
    <t>an 2800 Sparkasse Soest</t>
  </si>
  <si>
    <t>an 2800 Bank</t>
  </si>
  <si>
    <t>an 6063 Liefererskonti</t>
  </si>
  <si>
    <t>an 2600 Vorsteuer</t>
  </si>
  <si>
    <t>6061 Bezugskosten</t>
  </si>
  <si>
    <t xml:space="preserve">                            Soll</t>
  </si>
  <si>
    <t xml:space="preserve">  Haben</t>
  </si>
  <si>
    <t>2b) Zahlung mit Skontoausnutzung</t>
  </si>
  <si>
    <t>2a) Zahlung brutto</t>
  </si>
  <si>
    <t>1) Ausgangsrechnung</t>
  </si>
  <si>
    <t>an 51000 Warenverkauf</t>
  </si>
  <si>
    <t>an 4800 Umsatzsteuer</t>
  </si>
  <si>
    <t>2800 Sparkasse Soest</t>
  </si>
  <si>
    <t>4800 Umsatzsteuer</t>
  </si>
  <si>
    <t>5102 Erlösberichtigung</t>
  </si>
  <si>
    <t>Netto (incl. Transport)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</si>
</sst>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\ ###"/>
    <numFmt numFmtId="173" formatCode="#,##0.00\ &quot;EUR&quot;"/>
    <numFmt numFmtId="174" formatCode="#,##0.00\ [$€-1]"/>
    <numFmt numFmtId="175" formatCode="0\ %"/>
    <numFmt numFmtId="176" formatCode="#,##0.00\ &quot;DM&quot;"/>
    <numFmt numFmtId="177" formatCode="#\ ##0"/>
    <numFmt numFmtId="178" formatCode="yy\-mm\-dd"/>
    <numFmt numFmtId="179" formatCode="_-* #,##0.00\ [$€-1]_-;\-* #,##0.00\ [$€-1]_-;_-* &quot;-&quot;??\ [$€-1]_-"/>
    <numFmt numFmtId="180" formatCode="0.0%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0\ &quot;Stück&quot;"/>
    <numFmt numFmtId="186" formatCode="0.000%"/>
    <numFmt numFmtId="187" formatCode="0.0000%"/>
    <numFmt numFmtId="188" formatCode="0\ &quot;Tage&quot;"/>
    <numFmt numFmtId="189" formatCode="#\ &quot;Stück&quot;"/>
    <numFmt numFmtId="190" formatCode="00\ 000"/>
    <numFmt numFmtId="191" formatCode="0.0\ %"/>
    <numFmt numFmtId="192" formatCode="#,##0\ &quot;Stück&quot;"/>
    <numFmt numFmtId="193" formatCode="0\ &quot;St.&quot;"/>
    <numFmt numFmtId="194" formatCode="#,##0\ &quot;Einheiten&quot;"/>
    <numFmt numFmtId="195" formatCode="#,##0.0\ &quot;Einheiten&quot;"/>
    <numFmt numFmtId="196" formatCode="_-* #,##0.000\ &quot;€&quot;_-;\-* #,##0.000\ &quot;€&quot;_-;_-* &quot;-&quot;??\ &quot;€&quot;_-;_-@_-"/>
    <numFmt numFmtId="197" formatCode="#,##0\ &quot;Einh.&quot;"/>
    <numFmt numFmtId="198" formatCode="#,##0.0\ &quot;Einh.&quot;"/>
    <numFmt numFmtId="199" formatCode="#,##0.00\ &quot;Einh.&quot;"/>
  </numFmts>
  <fonts count="74">
    <font>
      <sz val="10"/>
      <name val="Arial"/>
      <family val="0"/>
    </font>
    <font>
      <b/>
      <sz val="10"/>
      <color indexed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53"/>
      <name val="Times New Roman"/>
      <family val="1"/>
    </font>
    <font>
      <sz val="10"/>
      <color indexed="13"/>
      <name val="Times New Roman"/>
      <family val="1"/>
    </font>
    <font>
      <b/>
      <sz val="24"/>
      <name val="Windsor Lt BT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5"/>
      <name val="Arial"/>
      <family val="0"/>
    </font>
    <font>
      <sz val="8"/>
      <name val="Arial"/>
      <family val="0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i/>
      <sz val="10"/>
      <name val="Arial"/>
      <family val="2"/>
    </font>
    <font>
      <b/>
      <sz val="15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6"/>
      <name val="CAC Leslie"/>
      <family val="0"/>
    </font>
    <font>
      <sz val="10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10"/>
      <color indexed="61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sz val="40"/>
      <color indexed="10"/>
      <name val="Arial"/>
      <family val="0"/>
    </font>
    <font>
      <b/>
      <sz val="10"/>
      <name val="CAC Leslie"/>
      <family val="0"/>
    </font>
    <font>
      <b/>
      <i/>
      <sz val="12"/>
      <name val="Arial"/>
      <family val="2"/>
    </font>
    <font>
      <sz val="10"/>
      <name val="Wingdings 2"/>
      <family val="1"/>
    </font>
    <font>
      <b/>
      <sz val="16"/>
      <name val="Script"/>
      <family val="4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name val="Script"/>
      <family val="4"/>
    </font>
    <font>
      <b/>
      <i/>
      <sz val="10"/>
      <color indexed="10"/>
      <name val="Arial"/>
      <family val="2"/>
    </font>
    <font>
      <b/>
      <i/>
      <sz val="40"/>
      <color indexed="12"/>
      <name val="Arial"/>
      <family val="2"/>
    </font>
    <font>
      <b/>
      <i/>
      <sz val="18"/>
      <color indexed="12"/>
      <name val="Arial"/>
      <family val="2"/>
    </font>
    <font>
      <sz val="8"/>
      <color indexed="9"/>
      <name val="Arial"/>
      <family val="2"/>
    </font>
    <font>
      <sz val="12"/>
      <color indexed="9"/>
      <name val="Times New Roman"/>
      <family val="1"/>
    </font>
    <font>
      <b/>
      <i/>
      <sz val="10"/>
      <color indexed="48"/>
      <name val="Arial"/>
      <family val="2"/>
    </font>
    <font>
      <b/>
      <sz val="20"/>
      <color indexed="10"/>
      <name val="Arial"/>
      <family val="2"/>
    </font>
    <font>
      <i/>
      <sz val="8"/>
      <name val="Verdana"/>
      <family val="2"/>
    </font>
    <font>
      <b/>
      <i/>
      <sz val="10"/>
      <name val="Verdana"/>
      <family val="2"/>
    </font>
    <font>
      <sz val="20"/>
      <name val="CAC Leslie"/>
      <family val="0"/>
    </font>
    <font>
      <b/>
      <i/>
      <sz val="12"/>
      <color indexed="48"/>
      <name val="Arial"/>
      <family val="2"/>
    </font>
    <font>
      <i/>
      <sz val="10"/>
      <color indexed="48"/>
      <name val="Arial"/>
      <family val="2"/>
    </font>
    <font>
      <b/>
      <i/>
      <sz val="14"/>
      <name val="Arial"/>
      <family val="2"/>
    </font>
    <font>
      <sz val="10"/>
      <color indexed="9"/>
      <name val="Times New Roman"/>
      <family val="1"/>
    </font>
    <font>
      <b/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5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center"/>
    </xf>
    <xf numFmtId="176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3" xfId="0" applyNumberFormat="1" applyBorder="1" applyAlignment="1">
      <alignment/>
    </xf>
    <xf numFmtId="49" fontId="0" fillId="0" borderId="0" xfId="0" applyNumberFormat="1" applyAlignment="1">
      <alignment horizontal="left" indent="1"/>
    </xf>
    <xf numFmtId="17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76" fontId="0" fillId="0" borderId="6" xfId="0" applyNumberFormat="1" applyBorder="1" applyAlignment="1">
      <alignment/>
    </xf>
    <xf numFmtId="172" fontId="10" fillId="0" borderId="0" xfId="0" applyNumberFormat="1" applyFont="1" applyAlignment="1">
      <alignment/>
    </xf>
    <xf numFmtId="177" fontId="11" fillId="0" borderId="0" xfId="0" applyNumberFormat="1" applyFont="1" applyAlignment="1" applyProtection="1">
      <alignment horizontal="left"/>
      <protection locked="0"/>
    </xf>
    <xf numFmtId="172" fontId="12" fillId="0" borderId="1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12" fillId="0" borderId="3" xfId="0" applyFont="1" applyBorder="1" applyAlignment="1">
      <alignment/>
    </xf>
    <xf numFmtId="176" fontId="12" fillId="0" borderId="2" xfId="0" applyNumberFormat="1" applyFont="1" applyBorder="1" applyAlignment="1">
      <alignment/>
    </xf>
    <xf numFmtId="176" fontId="12" fillId="0" borderId="3" xfId="0" applyNumberFormat="1" applyFont="1" applyBorder="1" applyAlignment="1">
      <alignment/>
    </xf>
    <xf numFmtId="172" fontId="9" fillId="0" borderId="4" xfId="0" applyNumberFormat="1" applyFont="1" applyBorder="1" applyAlignment="1">
      <alignment/>
    </xf>
    <xf numFmtId="0" fontId="9" fillId="0" borderId="6" xfId="0" applyFont="1" applyBorder="1" applyAlignment="1">
      <alignment/>
    </xf>
    <xf numFmtId="177" fontId="9" fillId="0" borderId="6" xfId="0" applyNumberFormat="1" applyFont="1" applyBorder="1" applyAlignment="1" applyProtection="1">
      <alignment horizontal="left"/>
      <protection locked="0"/>
    </xf>
    <xf numFmtId="172" fontId="9" fillId="0" borderId="0" xfId="0" applyNumberFormat="1" applyFont="1" applyAlignment="1">
      <alignment/>
    </xf>
    <xf numFmtId="178" fontId="9" fillId="0" borderId="6" xfId="0" applyNumberFormat="1" applyFont="1" applyBorder="1" applyAlignment="1">
      <alignment/>
    </xf>
    <xf numFmtId="0" fontId="9" fillId="0" borderId="2" xfId="0" applyFont="1" applyBorder="1" applyAlignment="1">
      <alignment/>
    </xf>
    <xf numFmtId="1" fontId="12" fillId="0" borderId="1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176" fontId="11" fillId="0" borderId="7" xfId="0" applyNumberFormat="1" applyFont="1" applyBorder="1" applyAlignment="1">
      <alignment/>
    </xf>
    <xf numFmtId="0" fontId="11" fillId="0" borderId="8" xfId="0" applyFont="1" applyBorder="1" applyAlignment="1">
      <alignment/>
    </xf>
    <xf numFmtId="176" fontId="11" fillId="0" borderId="0" xfId="0" applyNumberFormat="1" applyFont="1" applyBorder="1" applyAlignment="1">
      <alignment/>
    </xf>
    <xf numFmtId="176" fontId="11" fillId="0" borderId="8" xfId="0" applyNumberFormat="1" applyFont="1" applyBorder="1" applyAlignment="1">
      <alignment/>
    </xf>
    <xf numFmtId="172" fontId="0" fillId="0" borderId="0" xfId="0" applyNumberFormat="1" applyAlignment="1">
      <alignment horizontal="left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2" fontId="13" fillId="0" borderId="9" xfId="0" applyNumberFormat="1" applyFont="1" applyBorder="1" applyAlignment="1">
      <alignment/>
    </xf>
    <xf numFmtId="0" fontId="13" fillId="0" borderId="9" xfId="0" applyFont="1" applyBorder="1" applyAlignment="1">
      <alignment/>
    </xf>
    <xf numFmtId="176" fontId="1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0" fontId="16" fillId="2" borderId="7" xfId="0" applyFont="1" applyFill="1" applyBorder="1" applyAlignment="1">
      <alignment/>
    </xf>
    <xf numFmtId="0" fontId="0" fillId="2" borderId="7" xfId="0" applyFont="1" applyFill="1" applyBorder="1" applyAlignment="1">
      <alignment vertical="top" wrapText="1"/>
    </xf>
    <xf numFmtId="0" fontId="16" fillId="2" borderId="7" xfId="0" applyFont="1" applyFill="1" applyBorder="1" applyAlignment="1">
      <alignment vertical="top" wrapText="1"/>
    </xf>
    <xf numFmtId="0" fontId="16" fillId="2" borderId="7" xfId="0" applyFont="1" applyFill="1" applyBorder="1" applyAlignment="1">
      <alignment vertical="top"/>
    </xf>
    <xf numFmtId="0" fontId="16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/>
    </xf>
    <xf numFmtId="0" fontId="17" fillId="3" borderId="11" xfId="0" applyFont="1" applyFill="1" applyBorder="1" applyAlignment="1">
      <alignment/>
    </xf>
    <xf numFmtId="0" fontId="17" fillId="3" borderId="12" xfId="0" applyFont="1" applyFill="1" applyBorder="1" applyAlignment="1">
      <alignment/>
    </xf>
    <xf numFmtId="0" fontId="17" fillId="3" borderId="13" xfId="0" applyFont="1" applyFill="1" applyBorder="1" applyAlignment="1">
      <alignment/>
    </xf>
    <xf numFmtId="0" fontId="18" fillId="3" borderId="14" xfId="0" applyFont="1" applyFill="1" applyBorder="1" applyAlignment="1">
      <alignment horizontal="center"/>
    </xf>
    <xf numFmtId="175" fontId="16" fillId="2" borderId="15" xfId="0" applyNumberFormat="1" applyFont="1" applyFill="1" applyBorder="1" applyAlignment="1">
      <alignment/>
    </xf>
    <xf numFmtId="175" fontId="16" fillId="2" borderId="15" xfId="0" applyNumberFormat="1" applyFont="1" applyFill="1" applyBorder="1" applyAlignment="1">
      <alignment vertical="top"/>
    </xf>
    <xf numFmtId="175" fontId="16" fillId="2" borderId="15" xfId="20" applyNumberFormat="1" applyFont="1" applyFill="1" applyBorder="1" applyAlignment="1">
      <alignment/>
    </xf>
    <xf numFmtId="0" fontId="16" fillId="2" borderId="15" xfId="0" applyFont="1" applyFill="1" applyBorder="1" applyAlignment="1">
      <alignment/>
    </xf>
    <xf numFmtId="0" fontId="18" fillId="3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/>
    </xf>
    <xf numFmtId="0" fontId="16" fillId="2" borderId="18" xfId="0" applyFont="1" applyFill="1" applyBorder="1" applyAlignment="1">
      <alignment/>
    </xf>
    <xf numFmtId="0" fontId="0" fillId="4" borderId="7" xfId="0" applyFont="1" applyFill="1" applyBorder="1" applyAlignment="1">
      <alignment vertical="top" wrapText="1"/>
    </xf>
    <xf numFmtId="0" fontId="0" fillId="4" borderId="7" xfId="0" applyFont="1" applyFill="1" applyBorder="1" applyAlignment="1">
      <alignment/>
    </xf>
    <xf numFmtId="0" fontId="19" fillId="5" borderId="11" xfId="0" applyFont="1" applyFill="1" applyBorder="1" applyAlignment="1">
      <alignment vertical="top" wrapText="1"/>
    </xf>
    <xf numFmtId="0" fontId="19" fillId="5" borderId="12" xfId="0" applyFont="1" applyFill="1" applyBorder="1" applyAlignment="1">
      <alignment vertical="top" wrapText="1"/>
    </xf>
    <xf numFmtId="0" fontId="19" fillId="5" borderId="12" xfId="0" applyFont="1" applyFill="1" applyBorder="1" applyAlignment="1">
      <alignment/>
    </xf>
    <xf numFmtId="0" fontId="0" fillId="4" borderId="17" xfId="0" applyFont="1" applyFill="1" applyBorder="1" applyAlignment="1">
      <alignment vertical="top" wrapText="1"/>
    </xf>
    <xf numFmtId="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" fillId="6" borderId="11" xfId="0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6" fillId="6" borderId="14" xfId="0" applyFont="1" applyFill="1" applyBorder="1" applyAlignment="1">
      <alignment vertical="top"/>
    </xf>
    <xf numFmtId="9" fontId="2" fillId="4" borderId="15" xfId="0" applyNumberFormat="1" applyFont="1" applyFill="1" applyBorder="1" applyAlignment="1">
      <alignment horizontal="center" vertical="top" wrapText="1"/>
    </xf>
    <xf numFmtId="0" fontId="6" fillId="6" borderId="16" xfId="0" applyFont="1" applyFill="1" applyBorder="1" applyAlignment="1">
      <alignment vertical="top"/>
    </xf>
    <xf numFmtId="9" fontId="2" fillId="4" borderId="18" xfId="0" applyNumberFormat="1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vertical="top" wrapText="1"/>
    </xf>
    <xf numFmtId="0" fontId="3" fillId="7" borderId="7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right" vertical="top" wrapText="1"/>
    </xf>
    <xf numFmtId="0" fontId="5" fillId="4" borderId="7" xfId="0" applyFont="1" applyFill="1" applyBorder="1" applyAlignment="1">
      <alignment vertical="top" wrapText="1"/>
    </xf>
    <xf numFmtId="0" fontId="4" fillId="8" borderId="7" xfId="0" applyFont="1" applyFill="1" applyBorder="1" applyAlignment="1">
      <alignment horizontal="center" vertical="top" wrapText="1"/>
    </xf>
    <xf numFmtId="173" fontId="4" fillId="8" borderId="7" xfId="0" applyNumberFormat="1" applyFont="1" applyFill="1" applyBorder="1" applyAlignment="1">
      <alignment vertical="top"/>
    </xf>
    <xf numFmtId="0" fontId="4" fillId="8" borderId="7" xfId="0" applyFont="1" applyFill="1" applyBorder="1" applyAlignment="1">
      <alignment horizontal="center" vertical="top"/>
    </xf>
    <xf numFmtId="0" fontId="1" fillId="6" borderId="11" xfId="0" applyFont="1" applyFill="1" applyBorder="1" applyAlignment="1">
      <alignment horizontal="center" vertical="top" wrapText="1"/>
    </xf>
    <xf numFmtId="0" fontId="1" fillId="6" borderId="12" xfId="0" applyFont="1" applyFill="1" applyBorder="1" applyAlignment="1">
      <alignment vertical="top" wrapText="1"/>
    </xf>
    <xf numFmtId="0" fontId="1" fillId="6" borderId="12" xfId="0" applyFont="1" applyFill="1" applyBorder="1" applyAlignment="1">
      <alignment horizontal="center" vertical="top" wrapText="1"/>
    </xf>
    <xf numFmtId="0" fontId="1" fillId="6" borderId="12" xfId="0" applyFont="1" applyFill="1" applyBorder="1" applyAlignment="1">
      <alignment horizontal="right" vertical="top" wrapText="1"/>
    </xf>
    <xf numFmtId="0" fontId="1" fillId="6" borderId="13" xfId="0" applyFont="1" applyFill="1" applyBorder="1" applyAlignment="1">
      <alignment horizontal="center" vertical="top" wrapText="1"/>
    </xf>
    <xf numFmtId="172" fontId="0" fillId="7" borderId="14" xfId="0" applyNumberFormat="1" applyFill="1" applyBorder="1" applyAlignment="1">
      <alignment horizontal="center" vertical="top"/>
    </xf>
    <xf numFmtId="0" fontId="3" fillId="7" borderId="15" xfId="0" applyFont="1" applyFill="1" applyBorder="1" applyAlignment="1">
      <alignment horizontal="center" vertical="top" wrapText="1"/>
    </xf>
    <xf numFmtId="172" fontId="5" fillId="4" borderId="14" xfId="0" applyNumberFormat="1" applyFont="1" applyFill="1" applyBorder="1" applyAlignment="1">
      <alignment horizontal="center" vertical="top"/>
    </xf>
    <xf numFmtId="173" fontId="4" fillId="8" borderId="15" xfId="0" applyNumberFormat="1" applyFont="1" applyFill="1" applyBorder="1" applyAlignment="1">
      <alignment horizontal="right" vertical="top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vertical="top"/>
    </xf>
    <xf numFmtId="0" fontId="6" fillId="6" borderId="17" xfId="0" applyFont="1" applyFill="1" applyBorder="1" applyAlignment="1">
      <alignment horizontal="center" vertical="top"/>
    </xf>
    <xf numFmtId="0" fontId="6" fillId="6" borderId="17" xfId="0" applyFont="1" applyFill="1" applyBorder="1" applyAlignment="1">
      <alignment/>
    </xf>
    <xf numFmtId="0" fontId="1" fillId="6" borderId="17" xfId="0" applyFont="1" applyFill="1" applyBorder="1" applyAlignment="1">
      <alignment/>
    </xf>
    <xf numFmtId="0" fontId="6" fillId="6" borderId="17" xfId="0" applyFont="1" applyFill="1" applyBorder="1" applyAlignment="1">
      <alignment horizontal="center"/>
    </xf>
    <xf numFmtId="173" fontId="1" fillId="6" borderId="18" xfId="0" applyNumberFormat="1" applyFont="1" applyFill="1" applyBorder="1" applyAlignment="1">
      <alignment/>
    </xf>
    <xf numFmtId="0" fontId="0" fillId="7" borderId="7" xfId="0" applyFill="1" applyBorder="1" applyAlignment="1">
      <alignment vertical="top" wrapText="1"/>
    </xf>
    <xf numFmtId="0" fontId="0" fillId="7" borderId="7" xfId="0" applyFill="1" applyBorder="1" applyAlignment="1">
      <alignment horizontal="center" vertical="top" wrapText="1"/>
    </xf>
    <xf numFmtId="173" fontId="0" fillId="7" borderId="7" xfId="0" applyNumberFormat="1" applyFill="1" applyBorder="1" applyAlignment="1">
      <alignment vertical="top"/>
    </xf>
    <xf numFmtId="173" fontId="4" fillId="7" borderId="7" xfId="0" applyNumberFormat="1" applyFont="1" applyFill="1" applyBorder="1" applyAlignment="1">
      <alignment vertical="top"/>
    </xf>
    <xf numFmtId="0" fontId="0" fillId="7" borderId="7" xfId="0" applyFill="1" applyBorder="1" applyAlignment="1">
      <alignment horizontal="center"/>
    </xf>
    <xf numFmtId="0" fontId="0" fillId="7" borderId="7" xfId="0" applyFill="1" applyBorder="1" applyAlignment="1">
      <alignment horizontal="center" vertical="top"/>
    </xf>
    <xf numFmtId="173" fontId="0" fillId="7" borderId="15" xfId="0" applyNumberFormat="1" applyFill="1" applyBorder="1" applyAlignment="1">
      <alignment horizontal="right" vertical="top"/>
    </xf>
    <xf numFmtId="0" fontId="0" fillId="8" borderId="7" xfId="0" applyFill="1" applyBorder="1" applyAlignment="1">
      <alignment/>
    </xf>
    <xf numFmtId="0" fontId="0" fillId="4" borderId="7" xfId="0" applyFill="1" applyBorder="1" applyAlignment="1">
      <alignment/>
    </xf>
    <xf numFmtId="44" fontId="0" fillId="4" borderId="7" xfId="18" applyFill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23" fillId="9" borderId="22" xfId="0" applyFont="1" applyFill="1" applyBorder="1" applyAlignment="1">
      <alignment/>
    </xf>
    <xf numFmtId="0" fontId="0" fillId="8" borderId="23" xfId="0" applyFill="1" applyBorder="1" applyAlignment="1">
      <alignment/>
    </xf>
    <xf numFmtId="0" fontId="23" fillId="9" borderId="11" xfId="0" applyFont="1" applyFill="1" applyBorder="1" applyAlignment="1">
      <alignment/>
    </xf>
    <xf numFmtId="0" fontId="23" fillId="9" borderId="14" xfId="0" applyFont="1" applyFill="1" applyBorder="1" applyAlignment="1">
      <alignment/>
    </xf>
    <xf numFmtId="0" fontId="23" fillId="9" borderId="16" xfId="0" applyFont="1" applyFill="1" applyBorder="1" applyAlignment="1">
      <alignment/>
    </xf>
    <xf numFmtId="0" fontId="0" fillId="4" borderId="7" xfId="0" applyFill="1" applyBorder="1" applyAlignment="1">
      <alignment horizontal="center"/>
    </xf>
    <xf numFmtId="0" fontId="23" fillId="9" borderId="12" xfId="0" applyFont="1" applyFill="1" applyBorder="1" applyAlignment="1">
      <alignment/>
    </xf>
    <xf numFmtId="0" fontId="23" fillId="9" borderId="13" xfId="0" applyFont="1" applyFill="1" applyBorder="1" applyAlignment="1">
      <alignment/>
    </xf>
    <xf numFmtId="0" fontId="23" fillId="9" borderId="14" xfId="0" applyFont="1" applyFill="1" applyBorder="1" applyAlignment="1">
      <alignment horizontal="right"/>
    </xf>
    <xf numFmtId="0" fontId="0" fillId="8" borderId="7" xfId="0" applyFill="1" applyBorder="1" applyAlignment="1">
      <alignment horizontal="center"/>
    </xf>
    <xf numFmtId="0" fontId="0" fillId="0" borderId="7" xfId="0" applyNumberFormat="1" applyBorder="1" applyAlignment="1">
      <alignment vertical="top" wrapText="1"/>
    </xf>
    <xf numFmtId="2" fontId="0" fillId="0" borderId="7" xfId="0" applyNumberFormat="1" applyBorder="1" applyAlignment="1">
      <alignment vertical="top" wrapText="1"/>
    </xf>
    <xf numFmtId="44" fontId="0" fillId="0" borderId="7" xfId="18" applyBorder="1" applyAlignment="1">
      <alignment vertical="top" wrapText="1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9" fillId="0" borderId="0" xfId="0" applyNumberFormat="1" applyFont="1" applyAlignment="1">
      <alignment horizontal="left"/>
    </xf>
    <xf numFmtId="9" fontId="0" fillId="0" borderId="0" xfId="20" applyBorder="1" applyAlignment="1">
      <alignment/>
    </xf>
    <xf numFmtId="0" fontId="22" fillId="10" borderId="0" xfId="0" applyFont="1" applyFill="1" applyAlignment="1">
      <alignment/>
    </xf>
    <xf numFmtId="0" fontId="0" fillId="10" borderId="0" xfId="0" applyFill="1" applyAlignment="1">
      <alignment/>
    </xf>
    <xf numFmtId="0" fontId="23" fillId="10" borderId="0" xfId="0" applyFont="1" applyFill="1" applyBorder="1" applyAlignment="1">
      <alignment/>
    </xf>
    <xf numFmtId="0" fontId="0" fillId="10" borderId="0" xfId="0" applyFill="1" applyBorder="1" applyAlignment="1">
      <alignment horizontal="center"/>
    </xf>
    <xf numFmtId="0" fontId="24" fillId="10" borderId="0" xfId="0" applyFont="1" applyFill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vertical="top"/>
    </xf>
    <xf numFmtId="172" fontId="9" fillId="0" borderId="26" xfId="0" applyNumberFormat="1" applyFont="1" applyBorder="1" applyAlignment="1">
      <alignment/>
    </xf>
    <xf numFmtId="176" fontId="9" fillId="0" borderId="26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2" fontId="0" fillId="0" borderId="0" xfId="0" applyNumberFormat="1" applyBorder="1" applyAlignment="1">
      <alignment horizontal="left"/>
    </xf>
    <xf numFmtId="172" fontId="11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176" fontId="11" fillId="0" borderId="27" xfId="0" applyNumberFormat="1" applyFont="1" applyBorder="1" applyAlignment="1">
      <alignment/>
    </xf>
    <xf numFmtId="176" fontId="11" fillId="0" borderId="9" xfId="0" applyNumberFormat="1" applyFont="1" applyBorder="1" applyAlignment="1">
      <alignment/>
    </xf>
    <xf numFmtId="176" fontId="11" fillId="0" borderId="28" xfId="0" applyNumberFormat="1" applyFont="1" applyBorder="1" applyAlignment="1">
      <alignment/>
    </xf>
    <xf numFmtId="172" fontId="11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/>
    </xf>
    <xf numFmtId="172" fontId="0" fillId="0" borderId="14" xfId="0" applyNumberFormat="1" applyBorder="1" applyAlignment="1">
      <alignment horizontal="center" vertical="top"/>
    </xf>
    <xf numFmtId="188" fontId="0" fillId="0" borderId="0" xfId="0" applyNumberFormat="1" applyAlignment="1">
      <alignment/>
    </xf>
    <xf numFmtId="172" fontId="12" fillId="0" borderId="31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9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6" fontId="27" fillId="0" borderId="15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left"/>
    </xf>
    <xf numFmtId="178" fontId="9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9" fillId="0" borderId="33" xfId="0" applyFont="1" applyBorder="1" applyAlignment="1">
      <alignment/>
    </xf>
    <xf numFmtId="9" fontId="0" fillId="0" borderId="15" xfId="20" applyBorder="1" applyAlignment="1">
      <alignment vertical="top" wrapText="1"/>
    </xf>
    <xf numFmtId="176" fontId="11" fillId="0" borderId="12" xfId="0" applyNumberFormat="1" applyFont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23" fillId="9" borderId="34" xfId="0" applyFont="1" applyFill="1" applyBorder="1" applyAlignment="1">
      <alignment/>
    </xf>
    <xf numFmtId="172" fontId="11" fillId="0" borderId="35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176" fontId="11" fillId="0" borderId="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7" fontId="9" fillId="0" borderId="0" xfId="0" applyNumberFormat="1" applyFont="1" applyBorder="1" applyAlignment="1" applyProtection="1">
      <alignment horizontal="left"/>
      <protection locked="0"/>
    </xf>
    <xf numFmtId="172" fontId="3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32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176" fontId="0" fillId="0" borderId="0" xfId="0" applyNumberFormat="1" applyFont="1" applyAlignment="1">
      <alignment horizontal="left"/>
    </xf>
    <xf numFmtId="172" fontId="8" fillId="0" borderId="38" xfId="0" applyNumberFormat="1" applyFont="1" applyBorder="1" applyAlignment="1">
      <alignment/>
    </xf>
    <xf numFmtId="44" fontId="34" fillId="9" borderId="0" xfId="18" applyFont="1" applyFill="1" applyAlignment="1">
      <alignment/>
    </xf>
    <xf numFmtId="0" fontId="8" fillId="0" borderId="39" xfId="0" applyFont="1" applyBorder="1" applyAlignment="1">
      <alignment/>
    </xf>
    <xf numFmtId="177" fontId="8" fillId="0" borderId="39" xfId="0" applyNumberFormat="1" applyFont="1" applyBorder="1" applyAlignment="1" applyProtection="1">
      <alignment horizontal="left"/>
      <protection locked="0"/>
    </xf>
    <xf numFmtId="172" fontId="8" fillId="0" borderId="40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0" fontId="15" fillId="0" borderId="0" xfId="0" applyFont="1" applyAlignment="1">
      <alignment/>
    </xf>
    <xf numFmtId="176" fontId="15" fillId="0" borderId="0" xfId="0" applyNumberFormat="1" applyFont="1" applyAlignment="1">
      <alignment horizontal="right"/>
    </xf>
    <xf numFmtId="0" fontId="29" fillId="0" borderId="0" xfId="0" applyNumberFormat="1" applyFont="1" applyAlignment="1">
      <alignment horizontal="left"/>
    </xf>
    <xf numFmtId="0" fontId="1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72" fontId="3" fillId="4" borderId="0" xfId="0" applyNumberFormat="1" applyFont="1" applyFill="1" applyAlignment="1">
      <alignment horizontal="center" vertical="top"/>
    </xf>
    <xf numFmtId="0" fontId="35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172" fontId="36" fillId="2" borderId="0" xfId="0" applyNumberFormat="1" applyFont="1" applyFill="1" applyAlignment="1">
      <alignment horizontal="center" vertical="top"/>
    </xf>
    <xf numFmtId="0" fontId="35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172" fontId="36" fillId="8" borderId="0" xfId="0" applyNumberFormat="1" applyFont="1" applyFill="1" applyAlignment="1">
      <alignment horizontal="center" vertical="top"/>
    </xf>
    <xf numFmtId="1" fontId="34" fillId="9" borderId="0" xfId="0" applyNumberFormat="1" applyFont="1" applyFill="1" applyAlignment="1">
      <alignment/>
    </xf>
    <xf numFmtId="0" fontId="34" fillId="9" borderId="0" xfId="0" applyFont="1" applyFill="1" applyAlignment="1">
      <alignment/>
    </xf>
    <xf numFmtId="0" fontId="35" fillId="4" borderId="0" xfId="0" applyFont="1" applyFill="1" applyAlignment="1">
      <alignment horizontal="center"/>
    </xf>
    <xf numFmtId="0" fontId="36" fillId="4" borderId="0" xfId="0" applyFont="1" applyFill="1" applyAlignment="1">
      <alignment horizontal="center"/>
    </xf>
    <xf numFmtId="172" fontId="36" fillId="4" borderId="0" xfId="0" applyNumberFormat="1" applyFont="1" applyFill="1" applyAlignment="1">
      <alignment horizontal="center" vertical="top"/>
    </xf>
    <xf numFmtId="9" fontId="34" fillId="9" borderId="0" xfId="0" applyNumberFormat="1" applyFont="1" applyFill="1" applyAlignment="1">
      <alignment/>
    </xf>
    <xf numFmtId="10" fontId="34" fillId="9" borderId="0" xfId="0" applyNumberFormat="1" applyFont="1" applyFill="1" applyAlignment="1">
      <alignment/>
    </xf>
    <xf numFmtId="0" fontId="27" fillId="11" borderId="11" xfId="0" applyFont="1" applyFill="1" applyBorder="1" applyAlignment="1">
      <alignment horizontal="center"/>
    </xf>
    <xf numFmtId="0" fontId="27" fillId="11" borderId="12" xfId="0" applyFont="1" applyFill="1" applyBorder="1" applyAlignment="1">
      <alignment horizontal="center"/>
    </xf>
    <xf numFmtId="0" fontId="27" fillId="11" borderId="13" xfId="0" applyFon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172" fontId="3" fillId="13" borderId="42" xfId="0" applyNumberFormat="1" applyFont="1" applyFill="1" applyBorder="1" applyAlignment="1">
      <alignment horizontal="center" vertical="top"/>
    </xf>
    <xf numFmtId="172" fontId="3" fillId="13" borderId="43" xfId="0" applyNumberFormat="1" applyFont="1" applyFill="1" applyBorder="1" applyAlignment="1">
      <alignment horizontal="center" vertical="top"/>
    </xf>
    <xf numFmtId="0" fontId="27" fillId="11" borderId="44" xfId="0" applyFont="1" applyFill="1" applyBorder="1" applyAlignment="1">
      <alignment horizontal="center"/>
    </xf>
    <xf numFmtId="0" fontId="38" fillId="14" borderId="45" xfId="0" applyFont="1" applyFill="1" applyBorder="1" applyAlignment="1">
      <alignment horizontal="center"/>
    </xf>
    <xf numFmtId="0" fontId="38" fillId="14" borderId="46" xfId="0" applyFont="1" applyFill="1" applyBorder="1" applyAlignment="1">
      <alignment horizontal="center"/>
    </xf>
    <xf numFmtId="0" fontId="38" fillId="14" borderId="47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 vertical="top"/>
    </xf>
    <xf numFmtId="44" fontId="0" fillId="0" borderId="0" xfId="18" applyFill="1" applyBorder="1" applyAlignment="1">
      <alignment/>
    </xf>
    <xf numFmtId="0" fontId="0" fillId="8" borderId="34" xfId="0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44" fontId="0" fillId="4" borderId="7" xfId="18" applyFill="1" applyBorder="1" applyAlignment="1">
      <alignment horizontal="center"/>
    </xf>
    <xf numFmtId="9" fontId="0" fillId="4" borderId="7" xfId="20" applyFill="1" applyBorder="1" applyAlignment="1">
      <alignment horizontal="center"/>
    </xf>
    <xf numFmtId="190" fontId="0" fillId="4" borderId="15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39" fillId="3" borderId="48" xfId="0" applyFont="1" applyFill="1" applyBorder="1" applyAlignment="1" applyProtection="1">
      <alignment horizontal="center"/>
      <protection/>
    </xf>
    <xf numFmtId="0" fontId="39" fillId="3" borderId="0" xfId="0" applyFont="1" applyFill="1" applyBorder="1" applyAlignment="1" applyProtection="1">
      <alignment horizontal="center"/>
      <protection/>
    </xf>
    <xf numFmtId="0" fontId="39" fillId="3" borderId="30" xfId="0" applyFont="1" applyFill="1" applyBorder="1" applyAlignment="1" applyProtection="1">
      <alignment horizontal="center"/>
      <protection/>
    </xf>
    <xf numFmtId="0" fontId="40" fillId="3" borderId="48" xfId="0" applyFont="1" applyFill="1" applyBorder="1" applyAlignment="1" applyProtection="1">
      <alignment horizontal="left"/>
      <protection/>
    </xf>
    <xf numFmtId="0" fontId="27" fillId="3" borderId="0" xfId="0" applyFont="1" applyFill="1" applyBorder="1" applyAlignment="1" applyProtection="1">
      <alignment horizontal="center"/>
      <protection/>
    </xf>
    <xf numFmtId="0" fontId="27" fillId="3" borderId="30" xfId="0" applyFont="1" applyFill="1" applyBorder="1" applyAlignment="1" applyProtection="1">
      <alignment horizontal="center"/>
      <protection/>
    </xf>
    <xf numFmtId="0" fontId="43" fillId="3" borderId="48" xfId="0" applyFont="1" applyFill="1" applyBorder="1" applyAlignment="1" applyProtection="1">
      <alignment horizontal="left"/>
      <protection/>
    </xf>
    <xf numFmtId="0" fontId="27" fillId="9" borderId="14" xfId="0" applyFont="1" applyFill="1" applyBorder="1" applyAlignment="1" applyProtection="1">
      <alignment/>
      <protection/>
    </xf>
    <xf numFmtId="0" fontId="0" fillId="3" borderId="48" xfId="0" applyFont="1" applyFill="1" applyBorder="1" applyAlignment="1" applyProtection="1">
      <alignment/>
      <protection/>
    </xf>
    <xf numFmtId="0" fontId="44" fillId="3" borderId="0" xfId="0" applyFont="1" applyFill="1" applyBorder="1" applyAlignment="1" applyProtection="1">
      <alignment/>
      <protection locked="0"/>
    </xf>
    <xf numFmtId="0" fontId="44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30" xfId="0" applyFont="1" applyFill="1" applyBorder="1" applyAlignment="1" applyProtection="1">
      <alignment/>
      <protection/>
    </xf>
    <xf numFmtId="0" fontId="0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7" fillId="3" borderId="48" xfId="0" applyFont="1" applyFill="1" applyBorder="1" applyAlignment="1" applyProtection="1">
      <alignment horizontal="right"/>
      <protection/>
    </xf>
    <xf numFmtId="1" fontId="0" fillId="3" borderId="0" xfId="0" applyNumberFormat="1" applyFont="1" applyFill="1" applyBorder="1" applyAlignment="1" applyProtection="1">
      <alignment/>
      <protection locked="0"/>
    </xf>
    <xf numFmtId="0" fontId="28" fillId="3" borderId="48" xfId="0" applyFont="1" applyFill="1" applyBorder="1" applyAlignment="1" applyProtection="1">
      <alignment horizontal="right"/>
      <protection/>
    </xf>
    <xf numFmtId="0" fontId="28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/>
      <protection locked="0"/>
    </xf>
    <xf numFmtId="0" fontId="43" fillId="3" borderId="48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27" fillId="9" borderId="11" xfId="0" applyFont="1" applyFill="1" applyBorder="1" applyAlignment="1" applyProtection="1">
      <alignment horizontal="right"/>
      <protection/>
    </xf>
    <xf numFmtId="0" fontId="27" fillId="9" borderId="14" xfId="0" applyFont="1" applyFill="1" applyBorder="1" applyAlignment="1" applyProtection="1">
      <alignment horizontal="right"/>
      <protection/>
    </xf>
    <xf numFmtId="0" fontId="0" fillId="9" borderId="14" xfId="0" applyFont="1" applyFill="1" applyBorder="1" applyAlignment="1" applyProtection="1">
      <alignment/>
      <protection/>
    </xf>
    <xf numFmtId="0" fontId="27" fillId="9" borderId="7" xfId="0" applyFont="1" applyFill="1" applyBorder="1" applyAlignment="1" applyProtection="1">
      <alignment horizontal="right"/>
      <protection/>
    </xf>
    <xf numFmtId="0" fontId="27" fillId="9" borderId="15" xfId="0" applyFont="1" applyFill="1" applyBorder="1" applyAlignment="1" applyProtection="1">
      <alignment horizontal="right"/>
      <protection/>
    </xf>
    <xf numFmtId="44" fontId="0" fillId="4" borderId="7" xfId="18" applyFont="1" applyFill="1" applyBorder="1" applyAlignment="1" applyProtection="1">
      <alignment/>
      <protection/>
    </xf>
    <xf numFmtId="44" fontId="0" fillId="4" borderId="7" xfId="18" applyFont="1" applyFill="1" applyBorder="1" applyAlignment="1">
      <alignment/>
    </xf>
    <xf numFmtId="44" fontId="0" fillId="4" borderId="15" xfId="18" applyFont="1" applyFill="1" applyBorder="1" applyAlignment="1">
      <alignment/>
    </xf>
    <xf numFmtId="9" fontId="0" fillId="4" borderId="7" xfId="0" applyNumberFormat="1" applyFont="1" applyFill="1" applyBorder="1" applyAlignment="1" applyProtection="1">
      <alignment/>
      <protection/>
    </xf>
    <xf numFmtId="44" fontId="0" fillId="4" borderId="15" xfId="18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191" fontId="0" fillId="4" borderId="7" xfId="0" applyNumberFormat="1" applyFont="1" applyFill="1" applyBorder="1" applyAlignment="1" applyProtection="1">
      <alignment/>
      <protection locked="0"/>
    </xf>
    <xf numFmtId="175" fontId="0" fillId="0" borderId="7" xfId="0" applyNumberFormat="1" applyFont="1" applyFill="1" applyBorder="1" applyAlignment="1" applyProtection="1">
      <alignment/>
      <protection/>
    </xf>
    <xf numFmtId="44" fontId="0" fillId="4" borderId="7" xfId="18" applyFont="1" applyFill="1" applyBorder="1" applyAlignment="1" applyProtection="1">
      <alignment/>
      <protection locked="0"/>
    </xf>
    <xf numFmtId="44" fontId="0" fillId="4" borderId="15" xfId="18" applyFont="1" applyFill="1" applyBorder="1" applyAlignment="1" applyProtection="1">
      <alignment/>
      <protection locked="0"/>
    </xf>
    <xf numFmtId="0" fontId="45" fillId="0" borderId="7" xfId="0" applyFont="1" applyFill="1" applyBorder="1" applyAlignment="1" applyProtection="1">
      <alignment/>
      <protection/>
    </xf>
    <xf numFmtId="44" fontId="45" fillId="4" borderId="7" xfId="18" applyFont="1" applyFill="1" applyBorder="1" applyAlignment="1" applyProtection="1">
      <alignment/>
      <protection/>
    </xf>
    <xf numFmtId="44" fontId="45" fillId="4" borderId="15" xfId="18" applyFont="1" applyFill="1" applyBorder="1" applyAlignment="1" applyProtection="1">
      <alignment/>
      <protection/>
    </xf>
    <xf numFmtId="44" fontId="0" fillId="0" borderId="7" xfId="18" applyFont="1" applyFill="1" applyBorder="1" applyAlignment="1" applyProtection="1">
      <alignment/>
      <protection/>
    </xf>
    <xf numFmtId="0" fontId="0" fillId="4" borderId="7" xfId="0" applyFont="1" applyFill="1" applyBorder="1" applyAlignment="1" applyProtection="1">
      <alignment/>
      <protection/>
    </xf>
    <xf numFmtId="44" fontId="0" fillId="0" borderId="15" xfId="18" applyFont="1" applyFill="1" applyBorder="1" applyAlignment="1" applyProtection="1">
      <alignment/>
      <protection/>
    </xf>
    <xf numFmtId="44" fontId="0" fillId="0" borderId="7" xfId="18" applyFont="1" applyFill="1" applyBorder="1" applyAlignment="1">
      <alignment/>
    </xf>
    <xf numFmtId="44" fontId="0" fillId="0" borderId="15" xfId="18" applyFont="1" applyFill="1" applyBorder="1" applyAlignment="1">
      <alignment/>
    </xf>
    <xf numFmtId="0" fontId="27" fillId="9" borderId="16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44" fontId="0" fillId="4" borderId="17" xfId="18" applyFont="1" applyFill="1" applyBorder="1" applyAlignment="1">
      <alignment/>
    </xf>
    <xf numFmtId="173" fontId="46" fillId="0" borderId="17" xfId="0" applyNumberFormat="1" applyFont="1" applyFill="1" applyBorder="1" applyAlignment="1">
      <alignment/>
    </xf>
    <xf numFmtId="44" fontId="0" fillId="4" borderId="18" xfId="18" applyFont="1" applyFill="1" applyBorder="1" applyAlignment="1">
      <alignment/>
    </xf>
    <xf numFmtId="0" fontId="23" fillId="0" borderId="0" xfId="0" applyFont="1" applyAlignment="1">
      <alignment/>
    </xf>
    <xf numFmtId="9" fontId="0" fillId="0" borderId="0" xfId="20" applyBorder="1" applyAlignment="1">
      <alignment vertical="top" wrapText="1"/>
    </xf>
    <xf numFmtId="172" fontId="0" fillId="0" borderId="14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right"/>
    </xf>
    <xf numFmtId="172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176" fontId="0" fillId="0" borderId="3" xfId="0" applyNumberFormat="1" applyFont="1" applyBorder="1" applyAlignment="1">
      <alignment/>
    </xf>
    <xf numFmtId="49" fontId="0" fillId="0" borderId="0" xfId="0" applyNumberFormat="1" applyFont="1" applyAlignment="1">
      <alignment horizontal="left" indent="1"/>
    </xf>
    <xf numFmtId="172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6" xfId="0" applyNumberFormat="1" applyFont="1" applyBorder="1" applyAlignment="1">
      <alignment/>
    </xf>
    <xf numFmtId="172" fontId="48" fillId="0" borderId="7" xfId="0" applyNumberFormat="1" applyFont="1" applyBorder="1" applyAlignment="1">
      <alignment/>
    </xf>
    <xf numFmtId="0" fontId="15" fillId="0" borderId="7" xfId="0" applyFont="1" applyBorder="1" applyAlignment="1">
      <alignment/>
    </xf>
    <xf numFmtId="0" fontId="48" fillId="0" borderId="7" xfId="0" applyFont="1" applyBorder="1" applyAlignment="1">
      <alignment/>
    </xf>
    <xf numFmtId="176" fontId="48" fillId="0" borderId="7" xfId="0" applyNumberFormat="1" applyFont="1" applyBorder="1" applyAlignment="1">
      <alignment/>
    </xf>
    <xf numFmtId="0" fontId="0" fillId="0" borderId="49" xfId="0" applyFont="1" applyBorder="1" applyAlignment="1">
      <alignment/>
    </xf>
    <xf numFmtId="176" fontId="48" fillId="0" borderId="42" xfId="0" applyNumberFormat="1" applyFont="1" applyBorder="1" applyAlignment="1">
      <alignment/>
    </xf>
    <xf numFmtId="176" fontId="48" fillId="0" borderId="49" xfId="0" applyNumberFormat="1" applyFont="1" applyBorder="1" applyAlignment="1">
      <alignment/>
    </xf>
    <xf numFmtId="177" fontId="15" fillId="0" borderId="7" xfId="0" applyNumberFormat="1" applyFont="1" applyBorder="1" applyAlignment="1" applyProtection="1">
      <alignment horizontal="left"/>
      <protection locked="0"/>
    </xf>
    <xf numFmtId="172" fontId="15" fillId="0" borderId="7" xfId="0" applyNumberFormat="1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49" xfId="0" applyFont="1" applyBorder="1" applyAlignment="1">
      <alignment/>
    </xf>
    <xf numFmtId="172" fontId="4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1" fontId="30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/>
    </xf>
    <xf numFmtId="172" fontId="27" fillId="0" borderId="0" xfId="0" applyNumberFormat="1" applyFont="1" applyAlignment="1">
      <alignment/>
    </xf>
    <xf numFmtId="1" fontId="27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" fontId="48" fillId="0" borderId="7" xfId="0" applyNumberFormat="1" applyFont="1" applyBorder="1" applyAlignment="1">
      <alignment horizontal="center"/>
    </xf>
    <xf numFmtId="0" fontId="48" fillId="0" borderId="42" xfId="0" applyFont="1" applyBorder="1" applyAlignment="1">
      <alignment/>
    </xf>
    <xf numFmtId="172" fontId="30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172" fontId="28" fillId="0" borderId="11" xfId="0" applyNumberFormat="1" applyFont="1" applyBorder="1" applyAlignment="1">
      <alignment horizontal="center"/>
    </xf>
    <xf numFmtId="0" fontId="28" fillId="0" borderId="12" xfId="0" applyFont="1" applyBorder="1" applyAlignment="1">
      <alignment/>
    </xf>
    <xf numFmtId="176" fontId="28" fillId="0" borderId="12" xfId="0" applyNumberFormat="1" applyFont="1" applyBorder="1" applyAlignment="1">
      <alignment/>
    </xf>
    <xf numFmtId="176" fontId="28" fillId="0" borderId="12" xfId="0" applyNumberFormat="1" applyFont="1" applyBorder="1" applyAlignment="1">
      <alignment wrapText="1"/>
    </xf>
    <xf numFmtId="176" fontId="28" fillId="0" borderId="13" xfId="0" applyNumberFormat="1" applyFont="1" applyBorder="1" applyAlignment="1">
      <alignment wrapText="1"/>
    </xf>
    <xf numFmtId="172" fontId="28" fillId="0" borderId="14" xfId="0" applyNumberFormat="1" applyFont="1" applyBorder="1" applyAlignment="1">
      <alignment horizontal="center"/>
    </xf>
    <xf numFmtId="0" fontId="28" fillId="0" borderId="7" xfId="0" applyFont="1" applyBorder="1" applyAlignment="1">
      <alignment/>
    </xf>
    <xf numFmtId="176" fontId="28" fillId="0" borderId="7" xfId="0" applyNumberFormat="1" applyFont="1" applyBorder="1" applyAlignment="1">
      <alignment/>
    </xf>
    <xf numFmtId="0" fontId="29" fillId="0" borderId="7" xfId="0" applyFont="1" applyBorder="1" applyAlignment="1">
      <alignment/>
    </xf>
    <xf numFmtId="0" fontId="0" fillId="0" borderId="15" xfId="0" applyFont="1" applyBorder="1" applyAlignment="1">
      <alignment/>
    </xf>
    <xf numFmtId="172" fontId="0" fillId="0" borderId="14" xfId="0" applyNumberFormat="1" applyFont="1" applyBorder="1" applyAlignment="1">
      <alignment horizontal="center" vertical="center"/>
    </xf>
    <xf numFmtId="190" fontId="0" fillId="0" borderId="7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left" vertical="center" wrapText="1"/>
    </xf>
    <xf numFmtId="44" fontId="0" fillId="0" borderId="7" xfId="18" applyFont="1" applyBorder="1" applyAlignment="1">
      <alignment horizontal="center" vertical="center" wrapText="1"/>
    </xf>
    <xf numFmtId="9" fontId="0" fillId="0" borderId="7" xfId="20" applyFont="1" applyBorder="1" applyAlignment="1">
      <alignment horizontal="center" vertical="center" wrapText="1"/>
    </xf>
    <xf numFmtId="44" fontId="0" fillId="0" borderId="15" xfId="18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44" fontId="0" fillId="0" borderId="15" xfId="18" applyFont="1" applyBorder="1" applyAlignment="1">
      <alignment/>
    </xf>
    <xf numFmtId="172" fontId="0" fillId="0" borderId="16" xfId="0" applyNumberFormat="1" applyFont="1" applyBorder="1" applyAlignment="1">
      <alignment horizontal="center" vertical="center"/>
    </xf>
    <xf numFmtId="190" fontId="0" fillId="0" borderId="17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44" fontId="0" fillId="0" borderId="17" xfId="18" applyFont="1" applyBorder="1" applyAlignment="1">
      <alignment horizontal="center" vertical="center" wrapText="1"/>
    </xf>
    <xf numFmtId="9" fontId="0" fillId="0" borderId="17" xfId="20" applyFont="1" applyBorder="1" applyAlignment="1">
      <alignment horizontal="center" vertical="center" wrapText="1"/>
    </xf>
    <xf numFmtId="44" fontId="0" fillId="0" borderId="18" xfId="18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horizontal="center" vertical="top"/>
    </xf>
    <xf numFmtId="9" fontId="0" fillId="0" borderId="0" xfId="2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190" fontId="20" fillId="5" borderId="14" xfId="0" applyNumberFormat="1" applyFont="1" applyFill="1" applyBorder="1" applyAlignment="1">
      <alignment horizontal="center" vertical="top" wrapText="1"/>
    </xf>
    <xf numFmtId="190" fontId="20" fillId="5" borderId="16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Alignment="1">
      <alignment horizontal="left"/>
    </xf>
    <xf numFmtId="176" fontId="28" fillId="0" borderId="0" xfId="0" applyNumberFormat="1" applyFont="1" applyBorder="1" applyAlignment="1">
      <alignment wrapText="1"/>
    </xf>
    <xf numFmtId="176" fontId="28" fillId="0" borderId="0" xfId="0" applyNumberFormat="1" applyFont="1" applyBorder="1" applyAlignment="1">
      <alignment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23" fillId="9" borderId="16" xfId="0" applyFont="1" applyFill="1" applyBorder="1" applyAlignment="1">
      <alignment horizontal="right"/>
    </xf>
    <xf numFmtId="0" fontId="0" fillId="8" borderId="17" xfId="0" applyFill="1" applyBorder="1" applyAlignment="1">
      <alignment/>
    </xf>
    <xf numFmtId="0" fontId="0" fillId="8" borderId="1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7" xfId="0" applyFill="1" applyBorder="1" applyAlignment="1">
      <alignment/>
    </xf>
    <xf numFmtId="44" fontId="0" fillId="4" borderId="17" xfId="18" applyFill="1" applyBorder="1" applyAlignment="1">
      <alignment/>
    </xf>
    <xf numFmtId="0" fontId="0" fillId="8" borderId="23" xfId="0" applyFill="1" applyBorder="1" applyAlignment="1">
      <alignment horizontal="left"/>
    </xf>
    <xf numFmtId="172" fontId="0" fillId="0" borderId="14" xfId="0" applyNumberFormat="1" applyFill="1" applyBorder="1" applyAlignment="1">
      <alignment horizontal="left" vertical="center"/>
    </xf>
    <xf numFmtId="0" fontId="0" fillId="0" borderId="7" xfId="0" applyNumberFormat="1" applyFill="1" applyBorder="1" applyAlignment="1">
      <alignment horizontal="left" vertical="center" wrapText="1"/>
    </xf>
    <xf numFmtId="2" fontId="0" fillId="0" borderId="7" xfId="0" applyNumberFormat="1" applyFill="1" applyBorder="1" applyAlignment="1">
      <alignment horizontal="left" vertical="center"/>
    </xf>
    <xf numFmtId="2" fontId="0" fillId="0" borderId="7" xfId="0" applyNumberFormat="1" applyFill="1" applyBorder="1" applyAlignment="1">
      <alignment horizontal="left" vertical="center" wrapText="1"/>
    </xf>
    <xf numFmtId="44" fontId="0" fillId="0" borderId="0" xfId="18" applyFill="1" applyBorder="1" applyAlignment="1">
      <alignment vertical="top" wrapText="1"/>
    </xf>
    <xf numFmtId="9" fontId="0" fillId="0" borderId="30" xfId="20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0" fillId="0" borderId="17" xfId="0" applyNumberFormat="1" applyFill="1" applyBorder="1" applyAlignment="1">
      <alignment horizontal="left" vertical="center" wrapText="1"/>
    </xf>
    <xf numFmtId="2" fontId="0" fillId="0" borderId="17" xfId="0" applyNumberFormat="1" applyFill="1" applyBorder="1" applyAlignment="1">
      <alignment horizontal="left" vertical="center" wrapText="1"/>
    </xf>
    <xf numFmtId="44" fontId="0" fillId="0" borderId="40" xfId="18" applyFill="1" applyBorder="1" applyAlignment="1">
      <alignment vertical="top" wrapText="1"/>
    </xf>
    <xf numFmtId="9" fontId="0" fillId="0" borderId="41" xfId="20" applyFill="1" applyBorder="1" applyAlignment="1">
      <alignment vertical="top" wrapText="1"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 vertical="top" wrapText="1"/>
    </xf>
    <xf numFmtId="3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90" fontId="0" fillId="0" borderId="7" xfId="0" applyNumberFormat="1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left"/>
    </xf>
    <xf numFmtId="44" fontId="0" fillId="4" borderId="17" xfId="18" applyFill="1" applyBorder="1" applyAlignment="1">
      <alignment horizontal="center"/>
    </xf>
    <xf numFmtId="9" fontId="0" fillId="4" borderId="17" xfId="20" applyFill="1" applyBorder="1" applyAlignment="1">
      <alignment horizontal="center"/>
    </xf>
    <xf numFmtId="190" fontId="0" fillId="4" borderId="18" xfId="0" applyNumberFormat="1" applyFill="1" applyBorder="1" applyAlignment="1">
      <alignment horizontal="center"/>
    </xf>
    <xf numFmtId="0" fontId="56" fillId="7" borderId="0" xfId="0" applyFont="1" applyFill="1" applyAlignment="1">
      <alignment horizontal="center"/>
    </xf>
    <xf numFmtId="0" fontId="57" fillId="7" borderId="0" xfId="0" applyFont="1" applyFill="1" applyAlignment="1">
      <alignment horizontal="center"/>
    </xf>
    <xf numFmtId="172" fontId="57" fillId="7" borderId="0" xfId="0" applyNumberFormat="1" applyFont="1" applyFill="1" applyAlignment="1">
      <alignment horizontal="center" vertical="top"/>
    </xf>
    <xf numFmtId="190" fontId="34" fillId="9" borderId="0" xfId="18" applyNumberFormat="1" applyFont="1" applyFill="1" applyAlignment="1">
      <alignment/>
    </xf>
    <xf numFmtId="2" fontId="0" fillId="0" borderId="7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top" wrapText="1"/>
    </xf>
    <xf numFmtId="0" fontId="58" fillId="0" borderId="0" xfId="0" applyFont="1" applyAlignment="1">
      <alignment horizontal="left" vertical="top" wrapText="1"/>
    </xf>
    <xf numFmtId="172" fontId="0" fillId="0" borderId="16" xfId="0" applyNumberFormat="1" applyFill="1" applyBorder="1" applyAlignment="1">
      <alignment horizontal="left" vertical="center"/>
    </xf>
    <xf numFmtId="172" fontId="0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78" fontId="9" fillId="0" borderId="0" xfId="0" applyNumberFormat="1" applyFont="1" applyBorder="1" applyAlignment="1" applyProtection="1">
      <alignment/>
      <protection locked="0"/>
    </xf>
    <xf numFmtId="172" fontId="30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76" fontId="9" fillId="0" borderId="0" xfId="0" applyNumberFormat="1" applyFont="1" applyBorder="1" applyAlignment="1" applyProtection="1">
      <alignment/>
      <protection locked="0"/>
    </xf>
    <xf numFmtId="0" fontId="0" fillId="15" borderId="31" xfId="0" applyFill="1" applyBorder="1" applyAlignment="1">
      <alignment/>
    </xf>
    <xf numFmtId="0" fontId="0" fillId="15" borderId="9" xfId="0" applyFill="1" applyBorder="1" applyAlignment="1">
      <alignment/>
    </xf>
    <xf numFmtId="0" fontId="0" fillId="15" borderId="28" xfId="0" applyFill="1" applyBorder="1" applyAlignment="1">
      <alignment/>
    </xf>
    <xf numFmtId="0" fontId="0" fillId="15" borderId="48" xfId="0" applyFill="1" applyBorder="1" applyAlignment="1">
      <alignment/>
    </xf>
    <xf numFmtId="0" fontId="0" fillId="15" borderId="0" xfId="0" applyFill="1" applyBorder="1" applyAlignment="1">
      <alignment/>
    </xf>
    <xf numFmtId="0" fontId="0" fillId="15" borderId="30" xfId="0" applyFill="1" applyBorder="1" applyAlignment="1">
      <alignment/>
    </xf>
    <xf numFmtId="0" fontId="0" fillId="15" borderId="38" xfId="0" applyFill="1" applyBorder="1" applyAlignment="1">
      <alignment/>
    </xf>
    <xf numFmtId="0" fontId="0" fillId="15" borderId="40" xfId="0" applyFill="1" applyBorder="1" applyAlignment="1">
      <alignment/>
    </xf>
    <xf numFmtId="0" fontId="0" fillId="15" borderId="41" xfId="0" applyFill="1" applyBorder="1" applyAlignment="1">
      <alignment/>
    </xf>
    <xf numFmtId="0" fontId="0" fillId="13" borderId="0" xfId="0" applyFill="1" applyAlignment="1">
      <alignment/>
    </xf>
    <xf numFmtId="0" fontId="51" fillId="13" borderId="0" xfId="0" applyFont="1" applyFill="1" applyBorder="1" applyAlignment="1">
      <alignment/>
    </xf>
    <xf numFmtId="0" fontId="0" fillId="3" borderId="48" xfId="0" applyFont="1" applyFill="1" applyBorder="1" applyAlignment="1">
      <alignment/>
    </xf>
    <xf numFmtId="0" fontId="0" fillId="3" borderId="48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18" fillId="0" borderId="0" xfId="18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horizontal="right"/>
    </xf>
    <xf numFmtId="0" fontId="18" fillId="0" borderId="0" xfId="18" applyNumberFormat="1" applyFont="1" applyBorder="1" applyAlignment="1">
      <alignment horizontal="center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/>
    </xf>
    <xf numFmtId="0" fontId="22" fillId="0" borderId="0" xfId="20" applyNumberFormat="1" applyFont="1" applyBorder="1" applyAlignment="1">
      <alignment horizontal="center" vertical="center" wrapText="1"/>
    </xf>
    <xf numFmtId="177" fontId="62" fillId="10" borderId="0" xfId="0" applyNumberFormat="1" applyFont="1" applyFill="1" applyBorder="1" applyAlignment="1" applyProtection="1">
      <alignment horizontal="left"/>
      <protection locked="0"/>
    </xf>
    <xf numFmtId="177" fontId="63" fillId="0" borderId="0" xfId="0" applyNumberFormat="1" applyFont="1" applyBorder="1" applyAlignment="1" applyProtection="1">
      <alignment horizontal="left"/>
      <protection locked="0"/>
    </xf>
    <xf numFmtId="0" fontId="23" fillId="9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172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72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176" fontId="0" fillId="0" borderId="3" xfId="0" applyNumberFormat="1" applyFill="1" applyBorder="1" applyAlignment="1">
      <alignment/>
    </xf>
    <xf numFmtId="0" fontId="9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 indent="1"/>
    </xf>
    <xf numFmtId="172" fontId="0" fillId="0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176" fontId="0" fillId="0" borderId="6" xfId="0" applyNumberFormat="1" applyFill="1" applyBorder="1" applyAlignment="1">
      <alignment/>
    </xf>
    <xf numFmtId="172" fontId="10" fillId="0" borderId="0" xfId="0" applyNumberFormat="1" applyFont="1" applyFill="1" applyAlignment="1">
      <alignment/>
    </xf>
    <xf numFmtId="177" fontId="11" fillId="0" borderId="0" xfId="0" applyNumberFormat="1" applyFont="1" applyFill="1" applyAlignment="1" applyProtection="1">
      <alignment horizontal="left"/>
      <protection locked="0"/>
    </xf>
    <xf numFmtId="172" fontId="12" fillId="0" borderId="31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12" fillId="0" borderId="28" xfId="0" applyNumberFormat="1" applyFont="1" applyFill="1" applyBorder="1" applyAlignment="1">
      <alignment/>
    </xf>
    <xf numFmtId="172" fontId="9" fillId="0" borderId="50" xfId="0" applyNumberFormat="1" applyFont="1" applyFill="1" applyBorder="1" applyAlignment="1">
      <alignment/>
    </xf>
    <xf numFmtId="0" fontId="9" fillId="0" borderId="6" xfId="0" applyFont="1" applyFill="1" applyBorder="1" applyAlignment="1">
      <alignment/>
    </xf>
    <xf numFmtId="177" fontId="9" fillId="0" borderId="6" xfId="0" applyNumberFormat="1" applyFont="1" applyFill="1" applyBorder="1" applyAlignment="1" applyProtection="1">
      <alignment horizontal="left"/>
      <protection locked="0"/>
    </xf>
    <xf numFmtId="172" fontId="9" fillId="0" borderId="0" xfId="0" applyNumberFormat="1" applyFont="1" applyFill="1" applyBorder="1" applyAlignment="1">
      <alignment/>
    </xf>
    <xf numFmtId="178" fontId="9" fillId="0" borderId="51" xfId="0" applyNumberFormat="1" applyFont="1" applyFill="1" applyBorder="1" applyAlignment="1">
      <alignment/>
    </xf>
    <xf numFmtId="172" fontId="12" fillId="0" borderId="52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1" fontId="12" fillId="0" borderId="1" xfId="0" applyNumberFormat="1" applyFont="1" applyFill="1" applyBorder="1" applyAlignment="1">
      <alignment/>
    </xf>
    <xf numFmtId="176" fontId="9" fillId="0" borderId="2" xfId="0" applyNumberFormat="1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176" fontId="9" fillId="0" borderId="4" xfId="0" applyNumberFormat="1" applyFont="1" applyFill="1" applyBorder="1" applyAlignment="1">
      <alignment/>
    </xf>
    <xf numFmtId="176" fontId="9" fillId="0" borderId="5" xfId="0" applyNumberFormat="1" applyFont="1" applyFill="1" applyBorder="1" applyAlignment="1">
      <alignment/>
    </xf>
    <xf numFmtId="0" fontId="9" fillId="0" borderId="51" xfId="0" applyFont="1" applyFill="1" applyBorder="1" applyAlignment="1">
      <alignment/>
    </xf>
    <xf numFmtId="172" fontId="11" fillId="0" borderId="14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/>
    </xf>
    <xf numFmtId="176" fontId="11" fillId="0" borderId="54" xfId="0" applyNumberFormat="1" applyFont="1" applyFill="1" applyBorder="1" applyAlignment="1">
      <alignment/>
    </xf>
    <xf numFmtId="176" fontId="11" fillId="0" borderId="7" xfId="0" applyNumberFormat="1" applyFont="1" applyFill="1" applyBorder="1" applyAlignment="1">
      <alignment/>
    </xf>
    <xf numFmtId="176" fontId="11" fillId="0" borderId="15" xfId="0" applyNumberFormat="1" applyFont="1" applyFill="1" applyBorder="1" applyAlignment="1">
      <alignment/>
    </xf>
    <xf numFmtId="172" fontId="11" fillId="0" borderId="29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176" fontId="11" fillId="0" borderId="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172" fontId="0" fillId="0" borderId="14" xfId="0" applyNumberFormat="1" applyFill="1" applyBorder="1" applyAlignment="1">
      <alignment horizontal="center" vertical="top"/>
    </xf>
    <xf numFmtId="0" fontId="0" fillId="0" borderId="7" xfId="0" applyNumberFormat="1" applyFill="1" applyBorder="1" applyAlignment="1">
      <alignment vertical="top" wrapText="1"/>
    </xf>
    <xf numFmtId="2" fontId="0" fillId="0" borderId="7" xfId="0" applyNumberFormat="1" applyFill="1" applyBorder="1" applyAlignment="1">
      <alignment vertical="top" wrapText="1"/>
    </xf>
    <xf numFmtId="44" fontId="0" fillId="0" borderId="7" xfId="18" applyFill="1" applyBorder="1" applyAlignment="1">
      <alignment vertical="top" wrapText="1"/>
    </xf>
    <xf numFmtId="9" fontId="0" fillId="0" borderId="15" xfId="20" applyFill="1" applyBorder="1" applyAlignment="1">
      <alignment vertical="top" wrapText="1"/>
    </xf>
    <xf numFmtId="172" fontId="0" fillId="0" borderId="0" xfId="0" applyNumberFormat="1" applyFill="1" applyBorder="1" applyAlignment="1">
      <alignment horizontal="left"/>
    </xf>
    <xf numFmtId="172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9" fontId="0" fillId="0" borderId="0" xfId="20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left" vertical="top" wrapText="1"/>
    </xf>
    <xf numFmtId="176" fontId="0" fillId="0" borderId="0" xfId="0" applyNumberFormat="1" applyFont="1" applyFill="1" applyAlignment="1">
      <alignment/>
    </xf>
    <xf numFmtId="0" fontId="3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/>
    </xf>
    <xf numFmtId="176" fontId="0" fillId="0" borderId="0" xfId="0" applyNumberFormat="1" applyFont="1" applyFill="1" applyAlignment="1">
      <alignment horizontal="left"/>
    </xf>
    <xf numFmtId="172" fontId="13" fillId="0" borderId="9" xfId="0" applyNumberFormat="1" applyFont="1" applyFill="1" applyBorder="1" applyAlignment="1">
      <alignment/>
    </xf>
    <xf numFmtId="0" fontId="13" fillId="0" borderId="9" xfId="0" applyFont="1" applyFill="1" applyBorder="1" applyAlignment="1">
      <alignment/>
    </xf>
    <xf numFmtId="176" fontId="13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/>
    </xf>
    <xf numFmtId="172" fontId="27" fillId="0" borderId="14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/>
    </xf>
    <xf numFmtId="176" fontId="27" fillId="0" borderId="54" xfId="0" applyNumberFormat="1" applyFont="1" applyFill="1" applyBorder="1" applyAlignment="1">
      <alignment/>
    </xf>
    <xf numFmtId="176" fontId="27" fillId="0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0" fillId="0" borderId="15" xfId="0" applyFill="1" applyBorder="1" applyAlignment="1">
      <alignment/>
    </xf>
    <xf numFmtId="185" fontId="0" fillId="0" borderId="7" xfId="0" applyNumberFormat="1" applyFill="1" applyBorder="1" applyAlignment="1">
      <alignment horizontal="center" vertical="center" wrapText="1"/>
    </xf>
    <xf numFmtId="44" fontId="0" fillId="0" borderId="7" xfId="18" applyFill="1" applyBorder="1" applyAlignment="1">
      <alignment horizontal="center" vertical="center" wrapText="1"/>
    </xf>
    <xf numFmtId="9" fontId="0" fillId="0" borderId="7" xfId="20" applyFill="1" applyBorder="1" applyAlignment="1">
      <alignment horizontal="center" vertical="center" wrapText="1"/>
    </xf>
    <xf numFmtId="44" fontId="0" fillId="0" borderId="15" xfId="21" applyFill="1" applyBorder="1" applyAlignment="1">
      <alignment horizontal="left" vertical="center"/>
    </xf>
    <xf numFmtId="185" fontId="0" fillId="0" borderId="17" xfId="0" applyNumberFormat="1" applyFill="1" applyBorder="1" applyAlignment="1">
      <alignment horizontal="center" vertical="center" wrapText="1"/>
    </xf>
    <xf numFmtId="44" fontId="0" fillId="0" borderId="17" xfId="18" applyFill="1" applyBorder="1" applyAlignment="1">
      <alignment horizontal="center" vertical="center" wrapText="1"/>
    </xf>
    <xf numFmtId="9" fontId="0" fillId="0" borderId="17" xfId="20" applyFill="1" applyBorder="1" applyAlignment="1">
      <alignment horizontal="center" vertical="center" wrapText="1"/>
    </xf>
    <xf numFmtId="44" fontId="0" fillId="0" borderId="18" xfId="21" applyFill="1" applyBorder="1" applyAlignment="1">
      <alignment horizontal="left" vertical="center"/>
    </xf>
    <xf numFmtId="172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/>
    </xf>
    <xf numFmtId="44" fontId="28" fillId="0" borderId="0" xfId="18" applyFont="1" applyFill="1" applyBorder="1" applyAlignment="1">
      <alignment vertical="top" wrapText="1"/>
    </xf>
    <xf numFmtId="3" fontId="28" fillId="0" borderId="0" xfId="0" applyNumberFormat="1" applyFont="1" applyFill="1" applyBorder="1" applyAlignment="1">
      <alignment horizontal="left" vertical="top"/>
    </xf>
    <xf numFmtId="9" fontId="0" fillId="0" borderId="0" xfId="20" applyFill="1" applyAlignment="1">
      <alignment/>
    </xf>
    <xf numFmtId="9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4" fontId="0" fillId="0" borderId="0" xfId="21" applyFill="1" applyBorder="1" applyAlignment="1">
      <alignment/>
    </xf>
    <xf numFmtId="44" fontId="28" fillId="0" borderId="0" xfId="0" applyNumberFormat="1" applyFont="1" applyFill="1" applyAlignment="1">
      <alignment/>
    </xf>
    <xf numFmtId="178" fontId="9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44" fontId="27" fillId="0" borderId="0" xfId="0" applyNumberFormat="1" applyFont="1" applyFill="1" applyAlignment="1">
      <alignment/>
    </xf>
    <xf numFmtId="9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Alignment="1">
      <alignment/>
    </xf>
    <xf numFmtId="0" fontId="0" fillId="4" borderId="23" xfId="0" applyFill="1" applyBorder="1" applyAlignment="1">
      <alignment horizontal="center"/>
    </xf>
    <xf numFmtId="9" fontId="0" fillId="4" borderId="15" xfId="20" applyFill="1" applyBorder="1" applyAlignment="1">
      <alignment horizontal="center"/>
    </xf>
    <xf numFmtId="9" fontId="0" fillId="4" borderId="18" xfId="20" applyFill="1" applyBorder="1" applyAlignment="1">
      <alignment horizontal="center"/>
    </xf>
    <xf numFmtId="44" fontId="0" fillId="0" borderId="7" xfId="18" applyFill="1" applyBorder="1" applyAlignment="1">
      <alignment horizontal="center" vertical="center" wrapText="1"/>
    </xf>
    <xf numFmtId="9" fontId="0" fillId="0" borderId="7" xfId="20" applyFill="1" applyBorder="1" applyAlignment="1">
      <alignment horizontal="center" vertical="center" wrapText="1"/>
    </xf>
    <xf numFmtId="44" fontId="0" fillId="0" borderId="17" xfId="18" applyFill="1" applyBorder="1" applyAlignment="1">
      <alignment horizontal="center" vertical="center" wrapText="1"/>
    </xf>
    <xf numFmtId="9" fontId="0" fillId="0" borderId="17" xfId="20" applyFill="1" applyBorder="1" applyAlignment="1">
      <alignment horizontal="center" vertical="center" wrapText="1"/>
    </xf>
    <xf numFmtId="0" fontId="67" fillId="0" borderId="0" xfId="0" applyNumberFormat="1" applyFont="1" applyAlignment="1">
      <alignment horizontal="left"/>
    </xf>
    <xf numFmtId="172" fontId="0" fillId="0" borderId="14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top" wrapText="1"/>
    </xf>
    <xf numFmtId="44" fontId="2" fillId="0" borderId="0" xfId="21" applyFont="1" applyFill="1" applyBorder="1" applyAlignment="1">
      <alignment horizontal="center" vertical="top"/>
    </xf>
    <xf numFmtId="44" fontId="0" fillId="10" borderId="0" xfId="21" applyFill="1" applyAlignment="1">
      <alignment/>
    </xf>
    <xf numFmtId="180" fontId="0" fillId="4" borderId="7" xfId="20" applyNumberFormat="1" applyFont="1" applyFill="1" applyBorder="1" applyAlignment="1">
      <alignment horizontal="center" vertical="top" wrapText="1"/>
    </xf>
    <xf numFmtId="0" fontId="19" fillId="5" borderId="12" xfId="0" applyFont="1" applyFill="1" applyBorder="1" applyAlignment="1">
      <alignment horizontal="center"/>
    </xf>
    <xf numFmtId="0" fontId="19" fillId="5" borderId="13" xfId="0" applyFont="1" applyFill="1" applyBorder="1" applyAlignment="1">
      <alignment/>
    </xf>
    <xf numFmtId="180" fontId="0" fillId="4" borderId="17" xfId="20" applyNumberFormat="1" applyFont="1" applyFill="1" applyBorder="1" applyAlignment="1">
      <alignment horizontal="center" vertical="top" wrapText="1"/>
    </xf>
    <xf numFmtId="44" fontId="0" fillId="4" borderId="7" xfId="21" applyFont="1" applyFill="1" applyBorder="1" applyAlignment="1">
      <alignment horizontal="center"/>
    </xf>
    <xf numFmtId="193" fontId="0" fillId="4" borderId="7" xfId="20" applyNumberFormat="1" applyFill="1" applyBorder="1" applyAlignment="1">
      <alignment horizontal="center"/>
    </xf>
    <xf numFmtId="44" fontId="0" fillId="4" borderId="7" xfId="21" applyFill="1" applyBorder="1" applyAlignment="1">
      <alignment horizontal="center"/>
    </xf>
    <xf numFmtId="0" fontId="23" fillId="9" borderId="11" xfId="0" applyFont="1" applyFill="1" applyBorder="1" applyAlignment="1">
      <alignment horizontal="right"/>
    </xf>
    <xf numFmtId="0" fontId="23" fillId="9" borderId="12" xfId="0" applyFont="1" applyFill="1" applyBorder="1" applyAlignment="1">
      <alignment horizontal="center" wrapText="1"/>
    </xf>
    <xf numFmtId="44" fontId="0" fillId="4" borderId="17" xfId="21" applyFont="1" applyFill="1" applyBorder="1" applyAlignment="1">
      <alignment horizontal="center"/>
    </xf>
    <xf numFmtId="193" fontId="0" fillId="4" borderId="17" xfId="20" applyNumberFormat="1" applyFill="1" applyBorder="1" applyAlignment="1">
      <alignment horizontal="center"/>
    </xf>
    <xf numFmtId="44" fontId="0" fillId="4" borderId="17" xfId="21" applyFill="1" applyBorder="1" applyAlignment="1">
      <alignment horizontal="center"/>
    </xf>
    <xf numFmtId="0" fontId="23" fillId="9" borderId="13" xfId="0" applyFont="1" applyFill="1" applyBorder="1" applyAlignment="1">
      <alignment horizontal="center" wrapText="1"/>
    </xf>
    <xf numFmtId="194" fontId="0" fillId="0" borderId="15" xfId="0" applyNumberFormat="1" applyBorder="1" applyAlignment="1">
      <alignment horizontal="center" vertical="center" wrapText="1"/>
    </xf>
    <xf numFmtId="194" fontId="0" fillId="0" borderId="18" xfId="0" applyNumberFormat="1" applyBorder="1" applyAlignment="1">
      <alignment horizontal="center" vertical="center" wrapText="1"/>
    </xf>
    <xf numFmtId="194" fontId="0" fillId="0" borderId="7" xfId="0" applyNumberFormat="1" applyFont="1" applyBorder="1" applyAlignment="1">
      <alignment horizontal="center" vertical="center" wrapText="1"/>
    </xf>
    <xf numFmtId="194" fontId="0" fillId="0" borderId="17" xfId="0" applyNumberFormat="1" applyFont="1" applyBorder="1" applyAlignment="1">
      <alignment horizontal="center" vertical="center" wrapText="1"/>
    </xf>
    <xf numFmtId="0" fontId="28" fillId="14" borderId="55" xfId="0" applyFont="1" applyFill="1" applyBorder="1" applyAlignment="1">
      <alignment/>
    </xf>
    <xf numFmtId="176" fontId="28" fillId="14" borderId="55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center" vertical="center"/>
    </xf>
    <xf numFmtId="190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172" fontId="0" fillId="0" borderId="14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190" fontId="0" fillId="0" borderId="12" xfId="0" applyNumberFormat="1" applyFont="1" applyFill="1" applyBorder="1" applyAlignment="1">
      <alignment horizontal="left" vertical="center" wrapText="1"/>
    </xf>
    <xf numFmtId="2" fontId="0" fillId="0" borderId="17" xfId="0" applyNumberFormat="1" applyFont="1" applyFill="1" applyBorder="1" applyAlignment="1">
      <alignment horizontal="left" vertical="center" wrapText="1"/>
    </xf>
    <xf numFmtId="190" fontId="0" fillId="0" borderId="7" xfId="0" applyNumberFormat="1" applyFill="1" applyBorder="1" applyAlignment="1">
      <alignment horizontal="left" vertical="center" wrapText="1"/>
    </xf>
    <xf numFmtId="180" fontId="0" fillId="0" borderId="0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172" fontId="0" fillId="0" borderId="16" xfId="0" applyNumberFormat="1" applyFont="1" applyFill="1" applyBorder="1" applyAlignment="1">
      <alignment horizontal="left" vertical="center"/>
    </xf>
    <xf numFmtId="190" fontId="0" fillId="0" borderId="17" xfId="0" applyNumberFormat="1" applyFill="1" applyBorder="1" applyAlignment="1">
      <alignment horizontal="left" vertical="center" wrapText="1"/>
    </xf>
    <xf numFmtId="172" fontId="27" fillId="0" borderId="11" xfId="0" applyNumberFormat="1" applyFont="1" applyBorder="1" applyAlignment="1">
      <alignment/>
    </xf>
    <xf numFmtId="1" fontId="27" fillId="0" borderId="13" xfId="0" applyNumberFormat="1" applyFont="1" applyBorder="1" applyAlignment="1">
      <alignment/>
    </xf>
    <xf numFmtId="172" fontId="28" fillId="14" borderId="56" xfId="0" applyNumberFormat="1" applyFont="1" applyFill="1" applyBorder="1" applyAlignment="1">
      <alignment horizontal="center"/>
    </xf>
    <xf numFmtId="176" fontId="28" fillId="14" borderId="33" xfId="0" applyNumberFormat="1" applyFont="1" applyFill="1" applyBorder="1" applyAlignment="1">
      <alignment/>
    </xf>
    <xf numFmtId="172" fontId="9" fillId="0" borderId="48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2" fontId="27" fillId="0" borderId="11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176" fontId="27" fillId="0" borderId="12" xfId="0" applyNumberFormat="1" applyFont="1" applyFill="1" applyBorder="1" applyAlignment="1">
      <alignment/>
    </xf>
    <xf numFmtId="176" fontId="27" fillId="0" borderId="12" xfId="0" applyNumberFormat="1" applyFont="1" applyFill="1" applyBorder="1" applyAlignment="1">
      <alignment horizontal="center"/>
    </xf>
    <xf numFmtId="176" fontId="27" fillId="0" borderId="13" xfId="0" applyNumberFormat="1" applyFont="1" applyFill="1" applyBorder="1" applyAlignment="1">
      <alignment horizontal="center"/>
    </xf>
    <xf numFmtId="176" fontId="0" fillId="0" borderId="15" xfId="0" applyNumberFormat="1" applyBorder="1" applyAlignment="1">
      <alignment horizontal="right"/>
    </xf>
    <xf numFmtId="0" fontId="9" fillId="0" borderId="9" xfId="0" applyFont="1" applyFill="1" applyBorder="1" applyAlignment="1">
      <alignment/>
    </xf>
    <xf numFmtId="177" fontId="9" fillId="0" borderId="10" xfId="0" applyNumberFormat="1" applyFont="1" applyFill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>
      <alignment/>
    </xf>
    <xf numFmtId="176" fontId="9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76" fontId="0" fillId="0" borderId="28" xfId="0" applyNumberFormat="1" applyBorder="1" applyAlignment="1">
      <alignment horizontal="right"/>
    </xf>
    <xf numFmtId="176" fontId="9" fillId="0" borderId="38" xfId="0" applyNumberFormat="1" applyFont="1" applyFill="1" applyBorder="1" applyAlignment="1">
      <alignment/>
    </xf>
    <xf numFmtId="176" fontId="9" fillId="0" borderId="40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176" fontId="0" fillId="0" borderId="41" xfId="0" applyNumberFormat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Fill="1" applyAlignment="1">
      <alignment horizontal="left"/>
    </xf>
    <xf numFmtId="44" fontId="0" fillId="0" borderId="0" xfId="0" applyNumberFormat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Alignment="1">
      <alignment/>
    </xf>
    <xf numFmtId="44" fontId="64" fillId="0" borderId="0" xfId="0" applyNumberFormat="1" applyFont="1" applyFill="1" applyAlignment="1">
      <alignment/>
    </xf>
    <xf numFmtId="178" fontId="27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40" xfId="0" applyFont="1" applyFill="1" applyBorder="1" applyAlignment="1">
      <alignment vertical="top" wrapText="1"/>
    </xf>
    <xf numFmtId="0" fontId="2" fillId="0" borderId="40" xfId="0" applyFont="1" applyFill="1" applyBorder="1" applyAlignment="1">
      <alignment/>
    </xf>
    <xf numFmtId="176" fontId="0" fillId="0" borderId="40" xfId="0" applyNumberFormat="1" applyBorder="1" applyAlignment="1">
      <alignment horizontal="right"/>
    </xf>
    <xf numFmtId="172" fontId="0" fillId="0" borderId="57" xfId="0" applyNumberFormat="1" applyFill="1" applyBorder="1" applyAlignment="1">
      <alignment/>
    </xf>
    <xf numFmtId="0" fontId="0" fillId="0" borderId="57" xfId="0" applyFill="1" applyBorder="1" applyAlignment="1">
      <alignment/>
    </xf>
    <xf numFmtId="176" fontId="0" fillId="0" borderId="57" xfId="0" applyNumberFormat="1" applyFill="1" applyBorder="1" applyAlignment="1">
      <alignment/>
    </xf>
    <xf numFmtId="176" fontId="0" fillId="0" borderId="57" xfId="0" applyNumberFormat="1" applyBorder="1" applyAlignment="1">
      <alignment horizontal="right"/>
    </xf>
    <xf numFmtId="44" fontId="64" fillId="0" borderId="7" xfId="18" applyNumberFormat="1" applyFont="1" applyFill="1" applyBorder="1" applyAlignment="1">
      <alignment horizontal="center" vertical="center" wrapText="1"/>
    </xf>
    <xf numFmtId="44" fontId="64" fillId="0" borderId="17" xfId="18" applyNumberFormat="1" applyFont="1" applyFill="1" applyBorder="1" applyAlignment="1">
      <alignment horizontal="center" vertical="center" wrapText="1"/>
    </xf>
    <xf numFmtId="44" fontId="53" fillId="0" borderId="15" xfId="21" applyFont="1" applyFill="1" applyBorder="1" applyAlignment="1">
      <alignment horizontal="left" vertical="center"/>
    </xf>
    <xf numFmtId="44" fontId="53" fillId="0" borderId="18" xfId="21" applyFont="1" applyFill="1" applyBorder="1" applyAlignment="1">
      <alignment horizontal="left" vertical="center"/>
    </xf>
    <xf numFmtId="44" fontId="70" fillId="0" borderId="0" xfId="0" applyNumberFormat="1" applyFont="1" applyFill="1" applyAlignment="1">
      <alignment/>
    </xf>
    <xf numFmtId="44" fontId="69" fillId="0" borderId="0" xfId="0" applyNumberFormat="1" applyFont="1" applyFill="1" applyAlignment="1">
      <alignment/>
    </xf>
    <xf numFmtId="0" fontId="72" fillId="0" borderId="0" xfId="0" applyFont="1" applyFill="1" applyBorder="1" applyAlignment="1">
      <alignment horizontal="center" vertical="top"/>
    </xf>
    <xf numFmtId="0" fontId="65" fillId="10" borderId="0" xfId="0" applyFont="1" applyFill="1" applyBorder="1" applyAlignment="1">
      <alignment/>
    </xf>
    <xf numFmtId="197" fontId="32" fillId="4" borderId="7" xfId="0" applyNumberFormat="1" applyFont="1" applyFill="1" applyBorder="1" applyAlignment="1">
      <alignment/>
    </xf>
    <xf numFmtId="197" fontId="32" fillId="4" borderId="17" xfId="0" applyNumberFormat="1" applyFont="1" applyFill="1" applyBorder="1" applyAlignment="1">
      <alignment/>
    </xf>
    <xf numFmtId="0" fontId="28" fillId="0" borderId="0" xfId="0" applyFont="1" applyAlignment="1">
      <alignment/>
    </xf>
    <xf numFmtId="44" fontId="69" fillId="0" borderId="0" xfId="0" applyNumberFormat="1" applyFont="1" applyFill="1" applyBorder="1" applyAlignment="1">
      <alignment vertical="top"/>
    </xf>
    <xf numFmtId="0" fontId="29" fillId="0" borderId="0" xfId="0" applyFont="1" applyAlignment="1">
      <alignment/>
    </xf>
    <xf numFmtId="0" fontId="29" fillId="0" borderId="26" xfId="0" applyFont="1" applyBorder="1" applyAlignment="1">
      <alignment/>
    </xf>
    <xf numFmtId="0" fontId="29" fillId="0" borderId="5" xfId="0" applyFont="1" applyBorder="1" applyAlignment="1">
      <alignment/>
    </xf>
    <xf numFmtId="0" fontId="29" fillId="0" borderId="5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44" fontId="28" fillId="0" borderId="0" xfId="0" applyNumberFormat="1" applyFont="1" applyAlignment="1">
      <alignment/>
    </xf>
    <xf numFmtId="44" fontId="28" fillId="0" borderId="26" xfId="0" applyNumberFormat="1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5" xfId="0" applyFont="1" applyBorder="1" applyAlignment="1">
      <alignment/>
    </xf>
    <xf numFmtId="0" fontId="28" fillId="0" borderId="4" xfId="0" applyFont="1" applyBorder="1" applyAlignment="1">
      <alignment/>
    </xf>
    <xf numFmtId="44" fontId="28" fillId="0" borderId="26" xfId="21" applyFont="1" applyBorder="1" applyAlignment="1">
      <alignment/>
    </xf>
    <xf numFmtId="0" fontId="73" fillId="0" borderId="5" xfId="0" applyFont="1" applyBorder="1" applyAlignment="1">
      <alignment/>
    </xf>
    <xf numFmtId="177" fontId="28" fillId="0" borderId="0" xfId="0" applyNumberFormat="1" applyFont="1" applyAlignment="1">
      <alignment/>
    </xf>
    <xf numFmtId="0" fontId="0" fillId="4" borderId="9" xfId="0" applyFont="1" applyFill="1" applyBorder="1" applyAlignment="1" applyProtection="1">
      <alignment horizontal="center" vertical="top" wrapText="1"/>
      <protection locked="0"/>
    </xf>
    <xf numFmtId="191" fontId="32" fillId="4" borderId="15" xfId="0" applyNumberFormat="1" applyFont="1" applyFill="1" applyBorder="1" applyAlignment="1" applyProtection="1">
      <alignment horizontal="center"/>
      <protection locked="0"/>
    </xf>
    <xf numFmtId="0" fontId="32" fillId="4" borderId="7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27" fillId="3" borderId="0" xfId="0" applyFont="1" applyFill="1" applyBorder="1" applyAlignment="1" applyProtection="1">
      <alignment horizontal="right" vertical="top" wrapText="1"/>
      <protection/>
    </xf>
    <xf numFmtId="0" fontId="0" fillId="4" borderId="31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>
      <alignment horizontal="left"/>
    </xf>
    <xf numFmtId="9" fontId="32" fillId="4" borderId="7" xfId="0" applyNumberFormat="1" applyFont="1" applyFill="1" applyBorder="1" applyAlignment="1" applyProtection="1">
      <alignment horizontal="center"/>
      <protection/>
    </xf>
    <xf numFmtId="9" fontId="32" fillId="4" borderId="15" xfId="0" applyNumberFormat="1" applyFont="1" applyFill="1" applyBorder="1" applyAlignment="1" applyProtection="1">
      <alignment horizontal="center"/>
      <protection/>
    </xf>
    <xf numFmtId="191" fontId="32" fillId="4" borderId="7" xfId="0" applyNumberFormat="1" applyFont="1" applyFill="1" applyBorder="1" applyAlignment="1" applyProtection="1">
      <alignment horizontal="center"/>
      <protection locked="0"/>
    </xf>
    <xf numFmtId="0" fontId="60" fillId="12" borderId="31" xfId="0" applyFont="1" applyFill="1" applyBorder="1" applyAlignment="1">
      <alignment horizontal="center"/>
    </xf>
    <xf numFmtId="0" fontId="60" fillId="12" borderId="9" xfId="0" applyFont="1" applyFill="1" applyBorder="1" applyAlignment="1">
      <alignment horizontal="center"/>
    </xf>
    <xf numFmtId="0" fontId="60" fillId="12" borderId="28" xfId="0" applyFont="1" applyFill="1" applyBorder="1" applyAlignment="1">
      <alignment horizontal="center"/>
    </xf>
    <xf numFmtId="0" fontId="71" fillId="12" borderId="19" xfId="0" applyFont="1" applyFill="1" applyBorder="1" applyAlignment="1">
      <alignment horizontal="center"/>
    </xf>
    <xf numFmtId="0" fontId="71" fillId="12" borderId="20" xfId="0" applyFont="1" applyFill="1" applyBorder="1" applyAlignment="1">
      <alignment horizontal="center"/>
    </xf>
    <xf numFmtId="0" fontId="71" fillId="12" borderId="21" xfId="0" applyFont="1" applyFill="1" applyBorder="1" applyAlignment="1">
      <alignment horizontal="center"/>
    </xf>
    <xf numFmtId="0" fontId="39" fillId="12" borderId="19" xfId="0" applyFont="1" applyFill="1" applyBorder="1" applyAlignment="1" applyProtection="1">
      <alignment horizontal="center"/>
      <protection/>
    </xf>
    <xf numFmtId="0" fontId="39" fillId="12" borderId="20" xfId="0" applyFont="1" applyFill="1" applyBorder="1" applyAlignment="1" applyProtection="1">
      <alignment horizontal="center"/>
      <protection/>
    </xf>
    <xf numFmtId="0" fontId="39" fillId="12" borderId="21" xfId="0" applyFont="1" applyFill="1" applyBorder="1" applyAlignment="1" applyProtection="1">
      <alignment horizontal="center"/>
      <protection/>
    </xf>
    <xf numFmtId="0" fontId="41" fillId="9" borderId="19" xfId="0" applyFont="1" applyFill="1" applyBorder="1" applyAlignment="1" applyProtection="1">
      <alignment horizontal="center" vertical="top" wrapText="1"/>
      <protection/>
    </xf>
    <xf numFmtId="0" fontId="41" fillId="9" borderId="58" xfId="0" applyFont="1" applyFill="1" applyBorder="1" applyAlignment="1" applyProtection="1">
      <alignment horizontal="center" vertical="top" wrapText="1"/>
      <protection/>
    </xf>
    <xf numFmtId="1" fontId="42" fillId="8" borderId="59" xfId="0" applyNumberFormat="1" applyFont="1" applyFill="1" applyBorder="1" applyAlignment="1" applyProtection="1">
      <alignment horizontal="center" vertical="top" wrapText="1"/>
      <protection locked="0"/>
    </xf>
    <xf numFmtId="1" fontId="42" fillId="8" borderId="21" xfId="0" applyNumberFormat="1" applyFont="1" applyFill="1" applyBorder="1" applyAlignment="1" applyProtection="1">
      <alignment horizontal="center" vertical="top" wrapText="1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15" xfId="0" applyFont="1" applyFill="1" applyBorder="1" applyAlignment="1" applyProtection="1">
      <alignment horizontal="center" vertical="center"/>
      <protection locked="0"/>
    </xf>
    <xf numFmtId="44" fontId="32" fillId="4" borderId="7" xfId="18" applyFont="1" applyFill="1" applyBorder="1" applyAlignment="1" applyProtection="1">
      <alignment horizontal="center"/>
      <protection/>
    </xf>
    <xf numFmtId="44" fontId="32" fillId="4" borderId="15" xfId="18" applyFont="1" applyFill="1" applyBorder="1" applyAlignment="1" applyProtection="1">
      <alignment horizontal="center"/>
      <protection/>
    </xf>
    <xf numFmtId="0" fontId="0" fillId="4" borderId="28" xfId="0" applyFont="1" applyFill="1" applyBorder="1" applyAlignment="1" applyProtection="1">
      <alignment horizontal="center" vertical="top" wrapText="1"/>
      <protection locked="0"/>
    </xf>
    <xf numFmtId="0" fontId="0" fillId="4" borderId="7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27" fillId="3" borderId="0" xfId="0" applyFont="1" applyFill="1" applyBorder="1" applyAlignment="1" applyProtection="1">
      <alignment horizontal="right"/>
      <protection/>
    </xf>
    <xf numFmtId="0" fontId="27" fillId="3" borderId="30" xfId="0" applyFont="1" applyFill="1" applyBorder="1" applyAlignment="1" applyProtection="1">
      <alignment horizontal="right"/>
      <protection/>
    </xf>
    <xf numFmtId="0" fontId="0" fillId="4" borderId="38" xfId="0" applyFont="1" applyFill="1" applyBorder="1" applyAlignment="1" applyProtection="1">
      <alignment horizontal="center"/>
      <protection locked="0"/>
    </xf>
    <xf numFmtId="0" fontId="0" fillId="4" borderId="40" xfId="0" applyFont="1" applyFill="1" applyBorder="1" applyAlignment="1" applyProtection="1">
      <alignment horizontal="center"/>
      <protection locked="0"/>
    </xf>
    <xf numFmtId="0" fontId="0" fillId="4" borderId="41" xfId="0" applyFont="1" applyFill="1" applyBorder="1" applyAlignment="1" applyProtection="1">
      <alignment horizontal="center"/>
      <protection locked="0"/>
    </xf>
    <xf numFmtId="0" fontId="27" fillId="4" borderId="12" xfId="0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/>
      <protection locked="0"/>
    </xf>
    <xf numFmtId="0" fontId="65" fillId="12" borderId="19" xfId="0" applyFont="1" applyFill="1" applyBorder="1" applyAlignment="1">
      <alignment horizontal="center"/>
    </xf>
    <xf numFmtId="0" fontId="65" fillId="12" borderId="20" xfId="0" applyFont="1" applyFill="1" applyBorder="1" applyAlignment="1">
      <alignment horizontal="center"/>
    </xf>
    <xf numFmtId="0" fontId="65" fillId="12" borderId="21" xfId="0" applyFon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80" fontId="0" fillId="4" borderId="7" xfId="20" applyNumberFormat="1" applyFill="1" applyBorder="1" applyAlignment="1">
      <alignment horizontal="center"/>
    </xf>
    <xf numFmtId="180" fontId="0" fillId="4" borderId="15" xfId="20" applyNumberForma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8" fillId="0" borderId="5" xfId="0" applyNumberFormat="1" applyFont="1" applyBorder="1" applyAlignment="1">
      <alignment horizontal="center"/>
    </xf>
    <xf numFmtId="0" fontId="29" fillId="0" borderId="0" xfId="0" applyNumberFormat="1" applyFont="1" applyAlignment="1">
      <alignment horizontal="left"/>
    </xf>
    <xf numFmtId="172" fontId="8" fillId="0" borderId="38" xfId="0" applyNumberFormat="1" applyFont="1" applyBorder="1" applyAlignment="1">
      <alignment horizontal="center"/>
    </xf>
    <xf numFmtId="172" fontId="8" fillId="0" borderId="39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172" fontId="15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172" fontId="15" fillId="0" borderId="49" xfId="0" applyNumberFormat="1" applyFont="1" applyBorder="1" applyAlignment="1">
      <alignment horizontal="center"/>
    </xf>
    <xf numFmtId="172" fontId="15" fillId="0" borderId="42" xfId="0" applyNumberFormat="1" applyFont="1" applyBorder="1" applyAlignment="1">
      <alignment horizontal="center"/>
    </xf>
    <xf numFmtId="172" fontId="48" fillId="0" borderId="49" xfId="0" applyNumberFormat="1" applyFont="1" applyBorder="1" applyAlignment="1">
      <alignment horizontal="center"/>
    </xf>
    <xf numFmtId="172" fontId="48" fillId="0" borderId="42" xfId="0" applyNumberFormat="1" applyFont="1" applyBorder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47" fillId="9" borderId="19" xfId="0" applyFont="1" applyFill="1" applyBorder="1" applyAlignment="1">
      <alignment horizontal="center"/>
    </xf>
    <xf numFmtId="0" fontId="47" fillId="9" borderId="20" xfId="0" applyFont="1" applyFill="1" applyBorder="1" applyAlignment="1">
      <alignment horizontal="center"/>
    </xf>
    <xf numFmtId="0" fontId="47" fillId="9" borderId="21" xfId="0" applyFont="1" applyFill="1" applyBorder="1" applyAlignment="1">
      <alignment horizontal="center"/>
    </xf>
    <xf numFmtId="0" fontId="23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68" fillId="0" borderId="0" xfId="0" applyFont="1" applyFill="1" applyAlignment="1">
      <alignment horizontal="left" vertical="top" wrapText="1"/>
    </xf>
    <xf numFmtId="172" fontId="66" fillId="0" borderId="5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72" fontId="73" fillId="3" borderId="19" xfId="0" applyNumberFormat="1" applyFont="1" applyFill="1" applyBorder="1" applyAlignment="1">
      <alignment horizontal="center"/>
    </xf>
    <xf numFmtId="172" fontId="73" fillId="3" borderId="20" xfId="0" applyNumberFormat="1" applyFont="1" applyFill="1" applyBorder="1" applyAlignment="1">
      <alignment horizontal="center"/>
    </xf>
    <xf numFmtId="172" fontId="73" fillId="3" borderId="21" xfId="0" applyNumberFormat="1" applyFont="1" applyFill="1" applyBorder="1" applyAlignment="1">
      <alignment horizontal="center"/>
    </xf>
    <xf numFmtId="44" fontId="70" fillId="0" borderId="0" xfId="0" applyNumberFormat="1" applyFont="1" applyFill="1" applyAlignment="1">
      <alignment horizontal="center"/>
    </xf>
    <xf numFmtId="44" fontId="69" fillId="0" borderId="0" xfId="0" applyNumberFormat="1" applyFont="1" applyFill="1" applyBorder="1" applyAlignment="1">
      <alignment horizontal="center" vertical="top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67" fillId="0" borderId="0" xfId="0" applyNumberFormat="1" applyFont="1" applyAlignment="1">
      <alignment horizontal="left"/>
    </xf>
    <xf numFmtId="178" fontId="9" fillId="0" borderId="48" xfId="0" applyNumberFormat="1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 horizontal="center"/>
    </xf>
    <xf numFmtId="178" fontId="9" fillId="0" borderId="30" xfId="0" applyNumberFormat="1" applyFont="1" applyFill="1" applyBorder="1" applyAlignment="1">
      <alignment horizontal="center"/>
    </xf>
    <xf numFmtId="176" fontId="12" fillId="0" borderId="19" xfId="0" applyNumberFormat="1" applyFont="1" applyFill="1" applyBorder="1" applyAlignment="1">
      <alignment horizontal="center"/>
    </xf>
    <xf numFmtId="176" fontId="12" fillId="0" borderId="20" xfId="0" applyNumberFormat="1" applyFont="1" applyFill="1" applyBorder="1" applyAlignment="1">
      <alignment horizontal="center"/>
    </xf>
    <xf numFmtId="176" fontId="12" fillId="0" borderId="21" xfId="0" applyNumberFormat="1" applyFont="1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0" fillId="4" borderId="62" xfId="0" applyFill="1" applyBorder="1" applyAlignment="1">
      <alignment horizontal="center"/>
    </xf>
    <xf numFmtId="9" fontId="0" fillId="4" borderId="49" xfId="20" applyFill="1" applyBorder="1" applyAlignment="1">
      <alignment horizontal="center"/>
    </xf>
    <xf numFmtId="9" fontId="0" fillId="4" borderId="60" xfId="20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3" fillId="0" borderId="0" xfId="0" applyFont="1" applyAlignment="1">
      <alignment horizontal="left" vertical="top" wrapText="1"/>
    </xf>
    <xf numFmtId="0" fontId="31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33" fillId="0" borderId="0" xfId="0" applyFont="1" applyFill="1" applyAlignment="1">
      <alignment horizontal="left" vertical="top" wrapText="1"/>
    </xf>
    <xf numFmtId="0" fontId="9" fillId="0" borderId="0" xfId="0" applyNumberFormat="1" applyFont="1" applyFill="1" applyAlignment="1">
      <alignment horizontal="left"/>
    </xf>
    <xf numFmtId="172" fontId="8" fillId="0" borderId="5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76" fontId="12" fillId="0" borderId="12" xfId="0" applyNumberFormat="1" applyFont="1" applyFill="1" applyBorder="1" applyAlignment="1">
      <alignment horizontal="center"/>
    </xf>
    <xf numFmtId="176" fontId="12" fillId="0" borderId="13" xfId="0" applyNumberFormat="1" applyFont="1" applyFill="1" applyBorder="1" applyAlignment="1">
      <alignment horizontal="center"/>
    </xf>
    <xf numFmtId="178" fontId="9" fillId="0" borderId="7" xfId="0" applyNumberFormat="1" applyFont="1" applyFill="1" applyBorder="1" applyAlignment="1">
      <alignment horizontal="center"/>
    </xf>
    <xf numFmtId="178" fontId="9" fillId="0" borderId="15" xfId="0" applyNumberFormat="1" applyFont="1" applyFill="1" applyBorder="1" applyAlignment="1">
      <alignment horizontal="center"/>
    </xf>
    <xf numFmtId="44" fontId="28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37" fillId="14" borderId="19" xfId="0" applyFont="1" applyFill="1" applyBorder="1" applyAlignment="1">
      <alignment horizontal="center"/>
    </xf>
    <xf numFmtId="0" fontId="37" fillId="14" borderId="20" xfId="0" applyFont="1" applyFill="1" applyBorder="1" applyAlignment="1">
      <alignment horizontal="center"/>
    </xf>
    <xf numFmtId="0" fontId="37" fillId="14" borderId="21" xfId="0" applyFont="1" applyFill="1" applyBorder="1" applyAlignment="1">
      <alignment horizontal="center"/>
    </xf>
    <xf numFmtId="44" fontId="0" fillId="0" borderId="0" xfId="0" applyNumberForma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5</xdr:row>
      <xdr:rowOff>38100</xdr:rowOff>
    </xdr:from>
    <xdr:to>
      <xdr:col>8</xdr:col>
      <xdr:colOff>533400</xdr:colOff>
      <xdr:row>15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333625"/>
          <a:ext cx="10001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5</xdr:row>
      <xdr:rowOff>38100</xdr:rowOff>
    </xdr:from>
    <xdr:to>
      <xdr:col>2</xdr:col>
      <xdr:colOff>457200</xdr:colOff>
      <xdr:row>15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2333625"/>
          <a:ext cx="10001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4</xdr:row>
      <xdr:rowOff>9525</xdr:rowOff>
    </xdr:from>
    <xdr:to>
      <xdr:col>4</xdr:col>
      <xdr:colOff>704850</xdr:colOff>
      <xdr:row>12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885825"/>
          <a:ext cx="9048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828675</xdr:colOff>
      <xdr:row>4</xdr:row>
      <xdr:rowOff>9525</xdr:rowOff>
    </xdr:from>
    <xdr:to>
      <xdr:col>4</xdr:col>
      <xdr:colOff>704850</xdr:colOff>
      <xdr:row>12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885825"/>
          <a:ext cx="9048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4</xdr:row>
      <xdr:rowOff>9525</xdr:rowOff>
    </xdr:from>
    <xdr:to>
      <xdr:col>4</xdr:col>
      <xdr:colOff>390525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885825"/>
          <a:ext cx="9048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22</xdr:row>
      <xdr:rowOff>57150</xdr:rowOff>
    </xdr:from>
    <xdr:to>
      <xdr:col>3</xdr:col>
      <xdr:colOff>361950</xdr:colOff>
      <xdr:row>24</xdr:row>
      <xdr:rowOff>85725</xdr:rowOff>
    </xdr:to>
    <xdr:pic>
      <xdr:nvPicPr>
        <xdr:cNvPr id="1" name="cmdAV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02907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4</xdr:row>
      <xdr:rowOff>9525</xdr:rowOff>
    </xdr:from>
    <xdr:to>
      <xdr:col>4</xdr:col>
      <xdr:colOff>704850</xdr:colOff>
      <xdr:row>12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885825"/>
          <a:ext cx="9048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4</xdr:row>
      <xdr:rowOff>9525</xdr:rowOff>
    </xdr:from>
    <xdr:to>
      <xdr:col>4</xdr:col>
      <xdr:colOff>704850</xdr:colOff>
      <xdr:row>12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885825"/>
          <a:ext cx="9048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1019175</xdr:colOff>
      <xdr:row>3</xdr:row>
      <xdr:rowOff>152400</xdr:rowOff>
    </xdr:from>
    <xdr:to>
      <xdr:col>6</xdr:col>
      <xdr:colOff>142875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866775"/>
          <a:ext cx="9048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4</xdr:row>
      <xdr:rowOff>9525</xdr:rowOff>
    </xdr:from>
    <xdr:to>
      <xdr:col>4</xdr:col>
      <xdr:colOff>685800</xdr:colOff>
      <xdr:row>12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885825"/>
          <a:ext cx="9048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_Beschaffung\Stratmann_Einkau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"/>
      <sheetName val="Angebotsvergleich"/>
      <sheetName val="Anfrage"/>
      <sheetName val="Bestellung"/>
      <sheetName val="Artikel"/>
      <sheetName val="Lieferanten"/>
      <sheetName val="Sonstiges"/>
    </sheetNames>
    <sheetDataSet>
      <sheetData sheetId="5">
        <row r="200">
          <cell r="A200" t="str">
            <v>LiefANR</v>
          </cell>
          <cell r="B200">
            <v>21001</v>
          </cell>
          <cell r="C200">
            <v>21002</v>
          </cell>
          <cell r="D200">
            <v>22003</v>
          </cell>
          <cell r="E200">
            <v>22004</v>
          </cell>
          <cell r="F200">
            <v>23005</v>
          </cell>
          <cell r="G200">
            <v>23006</v>
          </cell>
          <cell r="H200">
            <v>24007</v>
          </cell>
          <cell r="I200">
            <v>24008</v>
          </cell>
          <cell r="J200">
            <v>25009</v>
          </cell>
          <cell r="K200">
            <v>25010</v>
          </cell>
          <cell r="L200">
            <v>26011</v>
          </cell>
          <cell r="M200">
            <v>21012</v>
          </cell>
        </row>
        <row r="201">
          <cell r="A201">
            <v>511010</v>
          </cell>
          <cell r="B201">
            <v>12350</v>
          </cell>
          <cell r="C201">
            <v>400</v>
          </cell>
          <cell r="L201">
            <v>432500</v>
          </cell>
        </row>
        <row r="202">
          <cell r="A202">
            <v>511020</v>
          </cell>
          <cell r="B202">
            <v>12360</v>
          </cell>
          <cell r="C202">
            <v>410</v>
          </cell>
          <cell r="L202">
            <v>432510</v>
          </cell>
        </row>
        <row r="203">
          <cell r="A203">
            <v>511030</v>
          </cell>
          <cell r="B203">
            <v>12370</v>
          </cell>
          <cell r="C203">
            <v>420</v>
          </cell>
          <cell r="L203">
            <v>432520</v>
          </cell>
        </row>
        <row r="204">
          <cell r="A204">
            <v>512040</v>
          </cell>
          <cell r="B204">
            <v>12380</v>
          </cell>
          <cell r="C204">
            <v>430</v>
          </cell>
          <cell r="L204">
            <v>432530</v>
          </cell>
        </row>
        <row r="205">
          <cell r="A205">
            <v>512050</v>
          </cell>
          <cell r="B205">
            <v>12390</v>
          </cell>
          <cell r="C205">
            <v>440</v>
          </cell>
          <cell r="L205">
            <v>432540</v>
          </cell>
        </row>
        <row r="206">
          <cell r="A206">
            <v>512060</v>
          </cell>
          <cell r="B206">
            <v>12400</v>
          </cell>
          <cell r="C206">
            <v>450</v>
          </cell>
          <cell r="L206">
            <v>432550</v>
          </cell>
        </row>
        <row r="207">
          <cell r="A207">
            <v>512065</v>
          </cell>
          <cell r="M207">
            <v>55.95</v>
          </cell>
        </row>
        <row r="208">
          <cell r="A208">
            <v>512070</v>
          </cell>
          <cell r="B208">
            <v>22510</v>
          </cell>
          <cell r="C208">
            <v>800</v>
          </cell>
          <cell r="L208">
            <v>432600</v>
          </cell>
        </row>
        <row r="209">
          <cell r="A209">
            <v>512075</v>
          </cell>
          <cell r="B209">
            <v>22520</v>
          </cell>
          <cell r="C209">
            <v>810</v>
          </cell>
          <cell r="L209">
            <v>432605</v>
          </cell>
        </row>
        <row r="210">
          <cell r="A210">
            <v>512080</v>
          </cell>
          <cell r="B210">
            <v>22530</v>
          </cell>
          <cell r="C210">
            <v>820</v>
          </cell>
          <cell r="L210">
            <v>432610</v>
          </cell>
        </row>
        <row r="211">
          <cell r="A211">
            <v>513090</v>
          </cell>
          <cell r="B211">
            <v>22540</v>
          </cell>
          <cell r="C211">
            <v>830</v>
          </cell>
          <cell r="L211">
            <v>432615</v>
          </cell>
        </row>
        <row r="212">
          <cell r="A212">
            <v>514100</v>
          </cell>
          <cell r="B212">
            <v>22550</v>
          </cell>
          <cell r="C212">
            <v>840</v>
          </cell>
          <cell r="L212">
            <v>432620</v>
          </cell>
        </row>
        <row r="213">
          <cell r="A213">
            <v>515110</v>
          </cell>
          <cell r="B213">
            <v>22560</v>
          </cell>
          <cell r="C213">
            <v>850</v>
          </cell>
          <cell r="L213">
            <v>432625</v>
          </cell>
        </row>
        <row r="214">
          <cell r="A214">
            <v>521120</v>
          </cell>
          <cell r="D214">
            <v>95025</v>
          </cell>
          <cell r="E214">
            <v>77050</v>
          </cell>
          <cell r="L214">
            <v>432630</v>
          </cell>
        </row>
        <row r="215">
          <cell r="A215">
            <v>522130</v>
          </cell>
          <cell r="D215">
            <v>95030</v>
          </cell>
          <cell r="E215">
            <v>77060</v>
          </cell>
          <cell r="L215">
            <v>432635</v>
          </cell>
        </row>
        <row r="216">
          <cell r="A216">
            <v>522140</v>
          </cell>
          <cell r="D216">
            <v>95035</v>
          </cell>
          <cell r="E216">
            <v>77070</v>
          </cell>
          <cell r="L216">
            <v>432640</v>
          </cell>
        </row>
        <row r="217">
          <cell r="A217">
            <v>523150</v>
          </cell>
          <cell r="D217">
            <v>95040</v>
          </cell>
          <cell r="E217">
            <v>77080</v>
          </cell>
          <cell r="L217">
            <v>432645</v>
          </cell>
        </row>
        <row r="218">
          <cell r="A218">
            <v>531160</v>
          </cell>
          <cell r="F218">
            <v>65100</v>
          </cell>
          <cell r="G218">
            <v>55430</v>
          </cell>
          <cell r="L218">
            <v>432650</v>
          </cell>
        </row>
        <row r="219">
          <cell r="A219">
            <v>531170</v>
          </cell>
          <cell r="F219">
            <v>65300</v>
          </cell>
          <cell r="G219">
            <v>55450</v>
          </cell>
          <cell r="L219">
            <v>432655</v>
          </cell>
        </row>
        <row r="220">
          <cell r="A220">
            <v>532180</v>
          </cell>
          <cell r="F220">
            <v>65500</v>
          </cell>
          <cell r="G220">
            <v>55470</v>
          </cell>
          <cell r="L220">
            <v>432660</v>
          </cell>
        </row>
        <row r="221">
          <cell r="A221">
            <v>533190</v>
          </cell>
          <cell r="F221">
            <v>65700</v>
          </cell>
          <cell r="G221">
            <v>55490</v>
          </cell>
          <cell r="L221">
            <v>432665</v>
          </cell>
        </row>
        <row r="222">
          <cell r="A222">
            <v>533200</v>
          </cell>
          <cell r="F222">
            <v>65900</v>
          </cell>
          <cell r="G222">
            <v>55510</v>
          </cell>
          <cell r="L222">
            <v>432670</v>
          </cell>
        </row>
        <row r="223">
          <cell r="A223">
            <v>541210</v>
          </cell>
          <cell r="H223">
            <v>65800</v>
          </cell>
          <cell r="I223">
            <v>76810</v>
          </cell>
          <cell r="L223">
            <v>432675</v>
          </cell>
        </row>
        <row r="224">
          <cell r="A224">
            <v>541220</v>
          </cell>
          <cell r="H224">
            <v>65900</v>
          </cell>
          <cell r="I224">
            <v>76815</v>
          </cell>
          <cell r="L224">
            <v>432680</v>
          </cell>
        </row>
        <row r="225">
          <cell r="A225">
            <v>542230</v>
          </cell>
          <cell r="H225">
            <v>66000</v>
          </cell>
          <cell r="I225">
            <v>76820</v>
          </cell>
          <cell r="L225">
            <v>432685</v>
          </cell>
        </row>
        <row r="226">
          <cell r="A226">
            <v>542240</v>
          </cell>
          <cell r="H226">
            <v>66100</v>
          </cell>
          <cell r="I226">
            <v>76825</v>
          </cell>
          <cell r="L226">
            <v>432690</v>
          </cell>
        </row>
        <row r="227">
          <cell r="A227">
            <v>542250</v>
          </cell>
          <cell r="H227">
            <v>66200</v>
          </cell>
          <cell r="I227">
            <v>76830</v>
          </cell>
          <cell r="L227">
            <v>432695</v>
          </cell>
        </row>
        <row r="228">
          <cell r="A228">
            <v>542255</v>
          </cell>
          <cell r="H228">
            <v>66300</v>
          </cell>
          <cell r="I228">
            <v>76835</v>
          </cell>
          <cell r="L228">
            <v>432700</v>
          </cell>
        </row>
        <row r="229">
          <cell r="A229">
            <v>543260</v>
          </cell>
          <cell r="H229">
            <v>66400</v>
          </cell>
          <cell r="I229">
            <v>76840</v>
          </cell>
          <cell r="L229">
            <v>432705</v>
          </cell>
        </row>
        <row r="230">
          <cell r="A230">
            <v>543270</v>
          </cell>
          <cell r="H230">
            <v>66500</v>
          </cell>
          <cell r="I230">
            <v>76845</v>
          </cell>
          <cell r="L230">
            <v>432710</v>
          </cell>
        </row>
        <row r="231">
          <cell r="A231">
            <v>551280</v>
          </cell>
          <cell r="J231">
            <v>24500</v>
          </cell>
          <cell r="K231">
            <v>66600</v>
          </cell>
          <cell r="L231">
            <v>432715</v>
          </cell>
        </row>
        <row r="232">
          <cell r="A232">
            <v>551290</v>
          </cell>
          <cell r="J232">
            <v>24510</v>
          </cell>
          <cell r="K232">
            <v>66615</v>
          </cell>
          <cell r="L232">
            <v>432720</v>
          </cell>
        </row>
        <row r="233">
          <cell r="A233">
            <v>552300</v>
          </cell>
          <cell r="J233">
            <v>24520</v>
          </cell>
          <cell r="K233">
            <v>66630</v>
          </cell>
          <cell r="L233">
            <v>432725</v>
          </cell>
        </row>
        <row r="234">
          <cell r="A234">
            <v>552310</v>
          </cell>
          <cell r="J234">
            <v>24530</v>
          </cell>
          <cell r="K234">
            <v>66645</v>
          </cell>
          <cell r="L234">
            <v>432730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/>
  <dimension ref="A1:T42"/>
  <sheetViews>
    <sheetView showGridLines="0" showRowColHeaders="0" workbookViewId="0" topLeftCell="A1">
      <selection activeCell="B2" sqref="B2:I2"/>
    </sheetView>
  </sheetViews>
  <sheetFormatPr defaultColWidth="11.421875" defaultRowHeight="12.75"/>
  <cols>
    <col min="1" max="1" width="23.421875" style="0" customWidth="1"/>
    <col min="10" max="10" width="8.140625" style="381" customWidth="1"/>
  </cols>
  <sheetData>
    <row r="1" spans="1:20" ht="92.25" customHeight="1" thickBo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</row>
    <row r="2" spans="1:20" ht="50.25" thickBot="1">
      <c r="A2" s="414"/>
      <c r="B2" s="651" t="s">
        <v>241</v>
      </c>
      <c r="C2" s="652"/>
      <c r="D2" s="652"/>
      <c r="E2" s="652"/>
      <c r="F2" s="652"/>
      <c r="G2" s="652"/>
      <c r="H2" s="652"/>
      <c r="I2" s="653"/>
      <c r="J2" s="415"/>
      <c r="K2" s="414"/>
      <c r="L2" s="414"/>
      <c r="M2" s="414"/>
      <c r="N2" s="414"/>
      <c r="O2" s="414"/>
      <c r="P2" s="414"/>
      <c r="Q2" s="414"/>
      <c r="R2" s="414"/>
      <c r="S2" s="414"/>
      <c r="T2" s="414"/>
    </row>
    <row r="3" spans="1:20" ht="12.75">
      <c r="A3" s="414"/>
      <c r="B3" s="405"/>
      <c r="C3" s="406"/>
      <c r="D3" s="406"/>
      <c r="E3" s="406"/>
      <c r="F3" s="406"/>
      <c r="G3" s="406"/>
      <c r="H3" s="406"/>
      <c r="I3" s="407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</row>
    <row r="4" spans="1:20" ht="12.75">
      <c r="A4" s="414"/>
      <c r="B4" s="408"/>
      <c r="C4" s="409"/>
      <c r="D4" s="409"/>
      <c r="E4" s="409"/>
      <c r="F4" s="409"/>
      <c r="G4" s="409"/>
      <c r="H4" s="409"/>
      <c r="I4" s="410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</row>
    <row r="5" spans="1:20" ht="12.75">
      <c r="A5" s="414"/>
      <c r="B5" s="408"/>
      <c r="C5" s="409"/>
      <c r="D5" s="409"/>
      <c r="E5" s="409"/>
      <c r="F5" s="409"/>
      <c r="G5" s="409"/>
      <c r="H5" s="409"/>
      <c r="I5" s="410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</row>
    <row r="6" spans="1:20" ht="12.75">
      <c r="A6" s="414"/>
      <c r="B6" s="408"/>
      <c r="C6" s="409"/>
      <c r="D6" s="409"/>
      <c r="E6" s="409"/>
      <c r="F6" s="409"/>
      <c r="G6" s="409"/>
      <c r="H6" s="409"/>
      <c r="I6" s="410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</row>
    <row r="7" spans="1:20" ht="12.75">
      <c r="A7" s="414"/>
      <c r="B7" s="408"/>
      <c r="C7" s="409"/>
      <c r="D7" s="409"/>
      <c r="E7" s="409"/>
      <c r="F7" s="409"/>
      <c r="G7" s="409"/>
      <c r="H7" s="409"/>
      <c r="I7" s="410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</row>
    <row r="8" spans="1:20" ht="12.75">
      <c r="A8" s="414"/>
      <c r="B8" s="408"/>
      <c r="C8" s="409"/>
      <c r="D8" s="409"/>
      <c r="E8" s="409"/>
      <c r="F8" s="409"/>
      <c r="G8" s="409"/>
      <c r="H8" s="409"/>
      <c r="I8" s="410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</row>
    <row r="9" spans="1:20" ht="12.75">
      <c r="A9" s="414"/>
      <c r="B9" s="408"/>
      <c r="C9" s="409"/>
      <c r="D9" s="409"/>
      <c r="E9" s="409"/>
      <c r="F9" s="409"/>
      <c r="G9" s="409"/>
      <c r="H9" s="409"/>
      <c r="I9" s="410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</row>
    <row r="10" spans="1:20" ht="12.75">
      <c r="A10" s="414"/>
      <c r="B10" s="408"/>
      <c r="C10" s="409"/>
      <c r="D10" s="409"/>
      <c r="E10" s="409"/>
      <c r="F10" s="409"/>
      <c r="G10" s="409"/>
      <c r="H10" s="409"/>
      <c r="I10" s="410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</row>
    <row r="11" spans="1:20" ht="12.75">
      <c r="A11" s="414"/>
      <c r="B11" s="408"/>
      <c r="C11" s="409"/>
      <c r="D11" s="409"/>
      <c r="E11" s="409"/>
      <c r="F11" s="409"/>
      <c r="G11" s="409"/>
      <c r="H11" s="409"/>
      <c r="I11" s="410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</row>
    <row r="12" spans="1:20" ht="12.75">
      <c r="A12" s="414"/>
      <c r="B12" s="408"/>
      <c r="C12" s="409"/>
      <c r="D12" s="409"/>
      <c r="E12" s="409"/>
      <c r="F12" s="409"/>
      <c r="G12" s="409"/>
      <c r="H12" s="409"/>
      <c r="I12" s="410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</row>
    <row r="13" spans="1:20" ht="12.75">
      <c r="A13" s="414"/>
      <c r="B13" s="408"/>
      <c r="C13" s="409"/>
      <c r="D13" s="409"/>
      <c r="E13" s="409"/>
      <c r="F13" s="409"/>
      <c r="G13" s="409"/>
      <c r="H13" s="409"/>
      <c r="I13" s="410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</row>
    <row r="14" spans="1:20" ht="12.75">
      <c r="A14" s="414"/>
      <c r="B14" s="408"/>
      <c r="C14" s="409"/>
      <c r="D14" s="409"/>
      <c r="E14" s="409"/>
      <c r="F14" s="409"/>
      <c r="G14" s="409"/>
      <c r="H14" s="409"/>
      <c r="I14" s="410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</row>
    <row r="15" spans="1:20" ht="12.75">
      <c r="A15" s="414"/>
      <c r="B15" s="408"/>
      <c r="C15" s="409"/>
      <c r="D15" s="409"/>
      <c r="E15" s="409"/>
      <c r="F15" s="409"/>
      <c r="G15" s="409"/>
      <c r="H15" s="409"/>
      <c r="I15" s="410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</row>
    <row r="16" spans="1:20" ht="12.75">
      <c r="A16" s="414"/>
      <c r="B16" s="408"/>
      <c r="C16" s="409"/>
      <c r="D16" s="409"/>
      <c r="E16" s="409"/>
      <c r="F16" s="409"/>
      <c r="G16" s="409"/>
      <c r="H16" s="409"/>
      <c r="I16" s="410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</row>
    <row r="17" spans="1:20" ht="12.75">
      <c r="A17" s="414"/>
      <c r="B17" s="408"/>
      <c r="C17" s="409"/>
      <c r="D17" s="409"/>
      <c r="E17" s="409"/>
      <c r="F17" s="409"/>
      <c r="G17" s="409"/>
      <c r="H17" s="409"/>
      <c r="I17" s="410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</row>
    <row r="18" spans="1:20" ht="12.75">
      <c r="A18" s="414"/>
      <c r="B18" s="408"/>
      <c r="C18" s="409"/>
      <c r="D18" s="409"/>
      <c r="E18" s="409"/>
      <c r="F18" s="409"/>
      <c r="G18" s="409"/>
      <c r="H18" s="409"/>
      <c r="I18" s="410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</row>
    <row r="19" spans="1:20" ht="12.75">
      <c r="A19" s="414"/>
      <c r="B19" s="408"/>
      <c r="C19" s="409"/>
      <c r="D19" s="409"/>
      <c r="E19" s="409"/>
      <c r="F19" s="409"/>
      <c r="G19" s="409"/>
      <c r="H19" s="409"/>
      <c r="I19" s="410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</row>
    <row r="20" spans="1:20" ht="12.75">
      <c r="A20" s="414"/>
      <c r="B20" s="408"/>
      <c r="C20" s="409"/>
      <c r="D20" s="409"/>
      <c r="E20" s="409"/>
      <c r="F20" s="409"/>
      <c r="G20" s="409"/>
      <c r="H20" s="409"/>
      <c r="I20" s="410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</row>
    <row r="21" spans="1:20" ht="13.5" thickBot="1">
      <c r="A21" s="414"/>
      <c r="B21" s="411"/>
      <c r="C21" s="412"/>
      <c r="D21" s="412"/>
      <c r="E21" s="412"/>
      <c r="F21" s="412"/>
      <c r="G21" s="412"/>
      <c r="H21" s="412"/>
      <c r="I21" s="413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</row>
    <row r="22" spans="1:20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</row>
    <row r="23" spans="1:20" ht="12.75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</row>
    <row r="24" spans="1:20" ht="12.75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</row>
    <row r="25" spans="1:20" ht="12.75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</row>
    <row r="26" spans="1:20" ht="12.75">
      <c r="A26" s="414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</row>
    <row r="27" spans="1:20" ht="12.75">
      <c r="A27" s="414"/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</row>
    <row r="28" spans="1:20" ht="12.75">
      <c r="A28" s="414"/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</row>
    <row r="29" spans="1:20" ht="12.75">
      <c r="A29" s="414"/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</row>
    <row r="30" spans="1:20" ht="12.75">
      <c r="A30" s="414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</row>
    <row r="31" spans="1:20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</row>
    <row r="32" spans="1:20" ht="12.75">
      <c r="A32" s="414"/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</row>
    <row r="33" spans="1:20" ht="12.75">
      <c r="A33" s="414"/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</row>
    <row r="34" spans="1:20" ht="12.75">
      <c r="A34" s="414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</row>
    <row r="35" spans="1:20" ht="12.75">
      <c r="A35" s="414"/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</row>
    <row r="36" spans="1:20" ht="12.75">
      <c r="A36" s="414"/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</row>
    <row r="37" spans="1:20" ht="12.75">
      <c r="A37" s="414"/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</row>
    <row r="38" spans="1:20" ht="12.75">
      <c r="A38" s="414"/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</row>
    <row r="39" spans="1:20" ht="12.75">
      <c r="A39" s="414"/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</row>
    <row r="40" spans="1:20" ht="12.75">
      <c r="A40" s="414"/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</row>
    <row r="41" spans="1:20" ht="12.75">
      <c r="A41" s="414"/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</row>
    <row r="42" spans="1:20" ht="12.75">
      <c r="A42" s="414"/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</row>
  </sheetData>
  <mergeCells count="1">
    <mergeCell ref="B2:I2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"/>
  <dimension ref="A1:H62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3" max="3" width="26.8515625" style="0" customWidth="1"/>
    <col min="4" max="4" width="15.421875" style="0" customWidth="1"/>
    <col min="5" max="5" width="11.28125" style="0" customWidth="1"/>
    <col min="6" max="6" width="10.7109375" style="0" customWidth="1"/>
    <col min="7" max="7" width="8.7109375" style="0" bestFit="1" customWidth="1"/>
    <col min="8" max="8" width="12.140625" style="0" bestFit="1" customWidth="1"/>
  </cols>
  <sheetData>
    <row r="1" spans="1:6" ht="30.75" thickBot="1">
      <c r="A1" s="428" t="s">
        <v>41</v>
      </c>
      <c r="B1" s="429"/>
      <c r="C1" s="429"/>
      <c r="D1" s="429"/>
      <c r="E1" s="429"/>
      <c r="F1" s="430"/>
    </row>
    <row r="2" spans="1:8" ht="12.75">
      <c r="A2" s="728" t="s">
        <v>42</v>
      </c>
      <c r="B2" s="728"/>
      <c r="C2" s="728"/>
      <c r="D2" s="728"/>
      <c r="E2" s="728"/>
      <c r="F2" s="728"/>
      <c r="H2" s="8"/>
    </row>
    <row r="3" spans="1:8" ht="12.75">
      <c r="A3" s="431"/>
      <c r="B3" s="381"/>
      <c r="C3" s="432"/>
      <c r="D3" s="432"/>
      <c r="E3" s="381"/>
      <c r="F3" s="381"/>
      <c r="H3" s="8"/>
    </row>
    <row r="4" spans="1:8" ht="12.75">
      <c r="A4" s="750" t="s">
        <v>43</v>
      </c>
      <c r="B4" s="750"/>
      <c r="C4" s="750"/>
      <c r="D4" s="432"/>
      <c r="E4" s="381"/>
      <c r="F4" s="381"/>
      <c r="H4" s="8"/>
    </row>
    <row r="5" spans="1:8" ht="12.75">
      <c r="A5" s="433"/>
      <c r="B5" s="434"/>
      <c r="C5" s="435"/>
      <c r="D5" s="432"/>
      <c r="E5" s="381"/>
      <c r="F5" s="381"/>
      <c r="H5" s="8"/>
    </row>
    <row r="6" spans="1:8" ht="12.75">
      <c r="A6" s="431"/>
      <c r="B6" s="381"/>
      <c r="C6" s="432"/>
      <c r="D6" s="432"/>
      <c r="E6" s="381"/>
      <c r="F6" s="381"/>
      <c r="H6" s="8"/>
    </row>
    <row r="7" spans="1:8" ht="12.75">
      <c r="A7" s="381"/>
      <c r="B7" s="381"/>
      <c r="C7" s="381"/>
      <c r="D7" s="432"/>
      <c r="E7" s="381"/>
      <c r="F7" s="381"/>
      <c r="H7" s="8"/>
    </row>
    <row r="8" spans="1:8" ht="15.75">
      <c r="A8" s="749">
        <f>IF(C18="","",Verkauf!G6)</f>
      </c>
      <c r="B8" s="749"/>
      <c r="C8" s="749"/>
      <c r="D8" s="432"/>
      <c r="E8" s="381"/>
      <c r="F8" s="381"/>
      <c r="H8" s="8"/>
    </row>
    <row r="9" spans="1:8" ht="15.75">
      <c r="A9" s="436">
        <f>IF(C18="","",Verkauf!G7)</f>
      </c>
      <c r="B9" s="436"/>
      <c r="C9" s="436"/>
      <c r="D9" s="432"/>
      <c r="E9" s="381"/>
      <c r="F9" s="381"/>
      <c r="H9" s="8"/>
    </row>
    <row r="10" spans="1:8" ht="15.75">
      <c r="A10" s="749">
        <f>IF(C18="","",Verkauf!G8)</f>
      </c>
      <c r="B10" s="749"/>
      <c r="C10" s="749"/>
      <c r="D10" s="432"/>
      <c r="E10" s="381"/>
      <c r="F10" s="381"/>
      <c r="H10" s="8"/>
    </row>
    <row r="11" spans="1:8" ht="12.75">
      <c r="A11" s="437"/>
      <c r="B11" s="381"/>
      <c r="C11" s="432"/>
      <c r="D11" s="432"/>
      <c r="E11" s="381"/>
      <c r="F11" s="381"/>
      <c r="H11" s="8"/>
    </row>
    <row r="12" spans="1:8" ht="12.75">
      <c r="A12" s="437"/>
      <c r="B12" s="381"/>
      <c r="C12" s="432"/>
      <c r="D12" s="432"/>
      <c r="E12" s="381"/>
      <c r="F12" s="381"/>
      <c r="H12" s="8"/>
    </row>
    <row r="13" spans="1:8" ht="12.75">
      <c r="A13" s="438"/>
      <c r="B13" s="439"/>
      <c r="C13" s="440"/>
      <c r="D13" s="432"/>
      <c r="E13" s="381"/>
      <c r="F13" s="381"/>
      <c r="H13" s="8"/>
    </row>
    <row r="14" spans="1:8" ht="12.75">
      <c r="A14" s="431"/>
      <c r="B14" s="381"/>
      <c r="C14" s="432"/>
      <c r="D14" s="432"/>
      <c r="E14" s="381"/>
      <c r="F14" s="381"/>
      <c r="H14" s="8"/>
    </row>
    <row r="15" spans="1:8" ht="22.5">
      <c r="A15" s="441" t="s">
        <v>210</v>
      </c>
      <c r="B15" s="381"/>
      <c r="C15" s="432"/>
      <c r="D15" s="442">
        <f>IF(C18="","",Verkauf!B10)</f>
      </c>
      <c r="E15" s="381"/>
      <c r="F15" s="381"/>
      <c r="H15" s="8"/>
    </row>
    <row r="16" spans="1:8" ht="6.75" customHeight="1" thickBot="1">
      <c r="A16" s="431"/>
      <c r="B16" s="381"/>
      <c r="C16" s="432"/>
      <c r="D16" s="432"/>
      <c r="E16" s="381"/>
      <c r="F16" s="381"/>
      <c r="H16" s="8"/>
    </row>
    <row r="17" spans="1:8" ht="15.75">
      <c r="A17" s="443" t="s">
        <v>44</v>
      </c>
      <c r="B17" s="444"/>
      <c r="C17" s="445" t="s">
        <v>8</v>
      </c>
      <c r="D17" s="446" t="s">
        <v>45</v>
      </c>
      <c r="E17" s="444"/>
      <c r="F17" s="447" t="s">
        <v>46</v>
      </c>
      <c r="H17" s="8"/>
    </row>
    <row r="18" spans="1:8" ht="15.75">
      <c r="A18" s="448"/>
      <c r="B18" s="449"/>
      <c r="C18" s="450">
        <f>IF(Verkauf!C15=TRUE,Verkauf!C6,"")</f>
      </c>
      <c r="D18" s="451">
        <f>IF(C18="","",VLOOKUP(Verkauf!F15,BeraterVerkauf,3))</f>
      </c>
      <c r="E18" s="449"/>
      <c r="F18" s="452"/>
      <c r="H18" s="8"/>
    </row>
    <row r="19" spans="1:8" ht="15.75">
      <c r="A19" s="453" t="s">
        <v>47</v>
      </c>
      <c r="B19" s="454"/>
      <c r="C19" s="455" t="s">
        <v>48</v>
      </c>
      <c r="D19" s="456"/>
      <c r="E19" s="454"/>
      <c r="F19" s="457"/>
      <c r="H19" s="8"/>
    </row>
    <row r="20" spans="1:8" ht="15.75">
      <c r="A20" s="448"/>
      <c r="B20" s="458"/>
      <c r="C20" s="459"/>
      <c r="D20" s="460"/>
      <c r="E20" s="458"/>
      <c r="F20" s="461"/>
      <c r="H20" s="8"/>
    </row>
    <row r="21" spans="1:8" ht="15.75">
      <c r="A21" s="462" t="s">
        <v>49</v>
      </c>
      <c r="B21" s="463" t="s">
        <v>50</v>
      </c>
      <c r="C21" s="464" t="s">
        <v>1</v>
      </c>
      <c r="D21" s="465" t="s">
        <v>51</v>
      </c>
      <c r="E21" s="465" t="s">
        <v>52</v>
      </c>
      <c r="F21" s="466" t="s">
        <v>13</v>
      </c>
      <c r="H21" s="8"/>
    </row>
    <row r="22" spans="1:8" ht="4.5" customHeight="1">
      <c r="A22" s="467"/>
      <c r="B22" s="468"/>
      <c r="C22" s="469"/>
      <c r="D22" s="470"/>
      <c r="E22" s="471"/>
      <c r="F22" s="472"/>
      <c r="H22" s="8"/>
    </row>
    <row r="23" spans="1:8" ht="38.25" customHeight="1">
      <c r="A23" s="473">
        <f>IF(OR(Verkauf!C17="",C18=""),"",1)</f>
      </c>
      <c r="B23" s="474">
        <f>IF($A23="","",Verkauf!C17)</f>
      </c>
      <c r="C23" s="475">
        <f>IF($A23="","",Verkauf!F17)</f>
      </c>
      <c r="D23" s="475">
        <f>IF($A23="","",Verkauf!G17)</f>
      </c>
      <c r="E23" s="476">
        <f>IF($A23="","",Verkauf!H17)</f>
      </c>
      <c r="F23" s="477">
        <f>IF($A23="","",Verkauf!I17)</f>
      </c>
      <c r="H23" s="8"/>
    </row>
    <row r="24" spans="1:8" ht="38.25" customHeight="1">
      <c r="A24" s="473">
        <f>IF(AND(Verkauf!C18&lt;&gt;"",$C$18&lt;&gt;""),A23+1,"")</f>
      </c>
      <c r="B24" s="474">
        <f>IF($A24="","",Verkauf!C18)</f>
      </c>
      <c r="C24" s="475">
        <f>IF($A24="","",Verkauf!F18)</f>
      </c>
      <c r="D24" s="475">
        <f>IF($A24="","",Verkauf!G18)</f>
      </c>
      <c r="E24" s="476">
        <f>IF($A24="","",Verkauf!H18)</f>
      </c>
      <c r="F24" s="477">
        <f>IF($A24="","",Verkauf!I18)</f>
      </c>
      <c r="H24" s="8"/>
    </row>
    <row r="25" spans="1:8" ht="38.25" customHeight="1">
      <c r="A25" s="473">
        <f>IF(AND(Verkauf!C19&lt;&gt;"",$C$18&lt;&gt;""),A24+1,"")</f>
      </c>
      <c r="B25" s="474">
        <f>IF($A25="","",Verkauf!C19)</f>
      </c>
      <c r="C25" s="475">
        <f>IF($A25="","",Verkauf!F19)</f>
      </c>
      <c r="D25" s="475">
        <f>IF($A25="","",Verkauf!G19)</f>
      </c>
      <c r="E25" s="476">
        <f>IF($A25="","",Verkauf!H19)</f>
      </c>
      <c r="F25" s="477">
        <f>IF($A25="","",Verkauf!I19)</f>
      </c>
      <c r="H25" s="8"/>
    </row>
    <row r="26" spans="1:8" ht="38.25" customHeight="1">
      <c r="A26" s="473">
        <f>IF(AND(Verkauf!C20&lt;&gt;"",$C$18&lt;&gt;""),A25+1,"")</f>
      </c>
      <c r="B26" s="474">
        <f>IF($A26="","",Verkauf!C20)</f>
      </c>
      <c r="C26" s="475">
        <f>IF($A26="","",Verkauf!F20)</f>
      </c>
      <c r="D26" s="475">
        <f>IF($A26="","",Verkauf!G20)</f>
      </c>
      <c r="E26" s="476">
        <f>IF($A26="","",Verkauf!H20)</f>
      </c>
      <c r="F26" s="477">
        <f>IF($A26="","",Verkauf!I20)</f>
      </c>
      <c r="H26" s="8"/>
    </row>
    <row r="27" spans="1:8" ht="38.25" customHeight="1">
      <c r="A27" s="473">
        <f>IF(AND(Verkauf!C21&lt;&gt;"",$C$18&lt;&gt;""),A26+1,"")</f>
      </c>
      <c r="B27" s="474">
        <f>IF($A27="","",Verkauf!C21)</f>
      </c>
      <c r="C27" s="475">
        <f>IF($A27="","",Verkauf!F21)</f>
      </c>
      <c r="D27" s="475">
        <f>IF($A27="","",Verkauf!G21)</f>
      </c>
      <c r="E27" s="476">
        <f>IF($A27="","",Verkauf!H21)</f>
      </c>
      <c r="F27" s="477">
        <f>IF($A27="","",Verkauf!I21)</f>
      </c>
      <c r="H27" s="8"/>
    </row>
    <row r="28" spans="1:8" ht="25.5" customHeight="1">
      <c r="A28" s="478" t="s">
        <v>218</v>
      </c>
      <c r="B28" s="381"/>
      <c r="C28" s="382"/>
      <c r="D28" s="383"/>
      <c r="E28" s="384"/>
      <c r="F28" s="384"/>
      <c r="H28" s="8"/>
    </row>
    <row r="29" spans="1:8" ht="13.5" customHeight="1">
      <c r="A29" s="381"/>
      <c r="B29" s="381"/>
      <c r="C29" s="432"/>
      <c r="D29" s="432"/>
      <c r="E29" s="381"/>
      <c r="F29" s="381"/>
      <c r="H29" s="8"/>
    </row>
    <row r="30" spans="1:8" ht="12.75">
      <c r="A30" s="479" t="str">
        <f>"Sie erhalten den gewünschten Rabatt in Höhe von "&amp;Verkauf!G9*100&amp;"%"</f>
        <v>Sie erhalten den gewünschten Rabatt in Höhe von 3%</v>
      </c>
      <c r="B30" s="480"/>
      <c r="C30" s="481"/>
      <c r="D30" s="482"/>
      <c r="E30" s="480"/>
      <c r="F30" s="480"/>
      <c r="H30" s="8"/>
    </row>
    <row r="31" spans="1:8" ht="12.75">
      <c r="A31" s="483"/>
      <c r="B31" s="480"/>
      <c r="C31" s="481"/>
      <c r="D31" s="481"/>
      <c r="E31" s="480"/>
      <c r="F31" s="480"/>
      <c r="H31" s="8"/>
    </row>
    <row r="32" spans="1:8" ht="12.75">
      <c r="A32" s="431" t="s">
        <v>53</v>
      </c>
      <c r="B32" s="381"/>
      <c r="C32" s="432"/>
      <c r="D32" s="432"/>
      <c r="E32" s="381"/>
      <c r="F32" s="381"/>
      <c r="H32" s="8"/>
    </row>
    <row r="33" spans="1:8" ht="12.75">
      <c r="A33" s="431"/>
      <c r="B33" s="381"/>
      <c r="C33" s="432"/>
      <c r="D33" s="432"/>
      <c r="E33" s="381"/>
      <c r="F33" s="381"/>
      <c r="H33" s="8"/>
    </row>
    <row r="34" spans="1:8" ht="12.75">
      <c r="A34" s="715" t="s">
        <v>240</v>
      </c>
      <c r="B34" s="715"/>
      <c r="C34" s="715"/>
      <c r="D34" s="715"/>
      <c r="E34" s="715"/>
      <c r="F34" s="715"/>
      <c r="H34" s="8"/>
    </row>
    <row r="35" spans="1:8" ht="12.75">
      <c r="A35" s="253"/>
      <c r="B35" s="237"/>
      <c r="C35" s="485"/>
      <c r="D35" s="485"/>
      <c r="E35" s="237"/>
      <c r="F35" s="237"/>
      <c r="H35" s="8"/>
    </row>
    <row r="36" spans="1:8" ht="12.75">
      <c r="A36" s="715" t="s">
        <v>241</v>
      </c>
      <c r="B36" s="715"/>
      <c r="C36" s="715"/>
      <c r="D36" s="715"/>
      <c r="E36" s="715"/>
      <c r="F36" s="715"/>
      <c r="H36" s="8"/>
    </row>
    <row r="37" spans="1:8" ht="12.75">
      <c r="A37" s="486"/>
      <c r="B37" s="487"/>
      <c r="C37" s="488"/>
      <c r="D37" s="488"/>
      <c r="E37" s="487"/>
      <c r="F37" s="487"/>
      <c r="H37" s="8"/>
    </row>
    <row r="38" spans="1:8" ht="22.5">
      <c r="A38" s="748" t="str">
        <f>VLOOKUP(Verkauf!F15,BeraterVerkauf,4)</f>
        <v>W. Kernen</v>
      </c>
      <c r="B38" s="748"/>
      <c r="C38" s="748"/>
      <c r="D38" s="748"/>
      <c r="E38" s="748"/>
      <c r="F38" s="748"/>
      <c r="H38" s="8"/>
    </row>
    <row r="39" spans="1:8" ht="12.75">
      <c r="A39" s="484"/>
      <c r="B39" s="487"/>
      <c r="C39" s="488"/>
      <c r="D39" s="488"/>
      <c r="E39" s="487"/>
      <c r="F39" s="487"/>
      <c r="H39" s="8"/>
    </row>
    <row r="40" spans="1:8" ht="12.75">
      <c r="A40" s="715" t="str">
        <f>VLOOKUP(Verkauf!F15,BeraterVerkauf,5)</f>
        <v>i. A. Willi Kernen</v>
      </c>
      <c r="B40" s="715"/>
      <c r="C40" s="715"/>
      <c r="D40" s="715"/>
      <c r="E40" s="715"/>
      <c r="F40" s="715"/>
      <c r="H40" s="8"/>
    </row>
    <row r="41" spans="1:8" ht="13.5" thickBot="1">
      <c r="A41" s="381"/>
      <c r="B41" s="381"/>
      <c r="C41" s="432"/>
      <c r="D41" s="432"/>
      <c r="E41" s="381"/>
      <c r="F41" s="381"/>
      <c r="H41" s="8"/>
    </row>
    <row r="42" spans="1:8" ht="12.75">
      <c r="A42" s="489" t="s">
        <v>54</v>
      </c>
      <c r="B42" s="490"/>
      <c r="C42" s="491" t="s">
        <v>55</v>
      </c>
      <c r="D42" s="491" t="s">
        <v>56</v>
      </c>
      <c r="E42" s="490" t="s">
        <v>57</v>
      </c>
      <c r="F42" s="492"/>
      <c r="H42" s="8"/>
    </row>
    <row r="43" spans="1:8" ht="12.75">
      <c r="A43" s="431" t="s">
        <v>58</v>
      </c>
      <c r="B43" s="381"/>
      <c r="C43" s="432" t="s">
        <v>59</v>
      </c>
      <c r="D43" s="432" t="s">
        <v>60</v>
      </c>
      <c r="E43" s="381" t="s">
        <v>61</v>
      </c>
      <c r="F43" s="381"/>
      <c r="H43" s="8"/>
    </row>
    <row r="44" spans="1:8" ht="12.75">
      <c r="A44" s="431" t="s">
        <v>16</v>
      </c>
      <c r="B44" s="381"/>
      <c r="C44" s="493" t="s">
        <v>62</v>
      </c>
      <c r="D44" s="432" t="s">
        <v>63</v>
      </c>
      <c r="E44" s="381" t="s">
        <v>64</v>
      </c>
      <c r="F44" s="381"/>
      <c r="H44" s="8"/>
    </row>
    <row r="45" spans="1:8" ht="12.75">
      <c r="A45" s="431" t="s">
        <v>65</v>
      </c>
      <c r="B45" s="381"/>
      <c r="C45" s="493" t="s">
        <v>66</v>
      </c>
      <c r="D45" s="494" t="s">
        <v>67</v>
      </c>
      <c r="E45" s="381"/>
      <c r="F45" s="381"/>
      <c r="H45" s="8"/>
    </row>
    <row r="46" spans="1:8" ht="12.75">
      <c r="A46" s="431"/>
      <c r="B46" s="381"/>
      <c r="C46" s="432"/>
      <c r="D46" s="432"/>
      <c r="E46" s="381"/>
      <c r="F46" s="381"/>
      <c r="H46" s="8"/>
    </row>
    <row r="47" spans="1:8" ht="12.75">
      <c r="A47" s="431"/>
      <c r="B47" s="381"/>
      <c r="C47" s="432"/>
      <c r="D47" s="432"/>
      <c r="E47" s="381"/>
      <c r="F47" s="381"/>
      <c r="H47" s="8"/>
    </row>
    <row r="48" spans="1:8" ht="12.75">
      <c r="A48" s="431"/>
      <c r="B48" s="381"/>
      <c r="C48" s="432"/>
      <c r="D48" s="432"/>
      <c r="E48" s="381"/>
      <c r="F48" s="381"/>
      <c r="H48" s="8"/>
    </row>
    <row r="49" spans="1:8" ht="12.75">
      <c r="A49" s="431"/>
      <c r="B49" s="381"/>
      <c r="C49" s="432"/>
      <c r="D49" s="432"/>
      <c r="E49" s="381"/>
      <c r="F49" s="381"/>
      <c r="H49" s="8"/>
    </row>
    <row r="50" spans="1:8" ht="12.75">
      <c r="A50" s="431"/>
      <c r="B50" s="381"/>
      <c r="C50" s="432"/>
      <c r="D50" s="432"/>
      <c r="E50" s="381"/>
      <c r="F50" s="381"/>
      <c r="H50" s="8"/>
    </row>
    <row r="51" spans="1:8" ht="12.75">
      <c r="A51" s="431"/>
      <c r="B51" s="381"/>
      <c r="C51" s="432"/>
      <c r="D51" s="432"/>
      <c r="E51" s="381"/>
      <c r="F51" s="381"/>
      <c r="H51" s="8"/>
    </row>
    <row r="52" spans="1:8" ht="12.75">
      <c r="A52" s="431"/>
      <c r="B52" s="381"/>
      <c r="C52" s="432"/>
      <c r="D52" s="432"/>
      <c r="E52" s="381"/>
      <c r="F52" s="381"/>
      <c r="H52" s="8"/>
    </row>
    <row r="53" spans="1:8" ht="12.75">
      <c r="A53" s="431"/>
      <c r="B53" s="381"/>
      <c r="C53" s="432"/>
      <c r="D53" s="432"/>
      <c r="E53" s="381"/>
      <c r="F53" s="381"/>
      <c r="H53" s="8"/>
    </row>
    <row r="54" spans="1:8" ht="12.75">
      <c r="A54" s="431"/>
      <c r="B54" s="381"/>
      <c r="C54" s="432"/>
      <c r="D54" s="432"/>
      <c r="E54" s="381"/>
      <c r="F54" s="381"/>
      <c r="H54" s="8"/>
    </row>
    <row r="55" spans="1:8" ht="12.75">
      <c r="A55" s="431"/>
      <c r="B55" s="381"/>
      <c r="C55" s="432"/>
      <c r="D55" s="432"/>
      <c r="E55" s="381"/>
      <c r="F55" s="381"/>
      <c r="H55" s="8"/>
    </row>
    <row r="56" spans="1:8" ht="12.75">
      <c r="A56" s="431"/>
      <c r="B56" s="381"/>
      <c r="C56" s="432"/>
      <c r="D56" s="432"/>
      <c r="E56" s="381"/>
      <c r="F56" s="381"/>
      <c r="H56" s="8"/>
    </row>
    <row r="57" spans="1:8" ht="12.75">
      <c r="A57" s="431"/>
      <c r="B57" s="381"/>
      <c r="C57" s="432"/>
      <c r="D57" s="432"/>
      <c r="E57" s="381"/>
      <c r="F57" s="381"/>
      <c r="H57" s="8"/>
    </row>
    <row r="58" spans="1:8" ht="12.75">
      <c r="A58" s="431"/>
      <c r="B58" s="381"/>
      <c r="C58" s="432"/>
      <c r="D58" s="432"/>
      <c r="E58" s="381"/>
      <c r="F58" s="381"/>
      <c r="H58" s="8"/>
    </row>
    <row r="59" spans="1:8" ht="12.75">
      <c r="A59" s="9"/>
      <c r="C59" s="10"/>
      <c r="D59" s="10"/>
      <c r="H59" s="8"/>
    </row>
    <row r="62" ht="12.75">
      <c r="H62" s="10"/>
    </row>
  </sheetData>
  <mergeCells count="8">
    <mergeCell ref="A10:C10"/>
    <mergeCell ref="A2:F2"/>
    <mergeCell ref="A4:C4"/>
    <mergeCell ref="A8:C8"/>
    <mergeCell ref="A34:F34"/>
    <mergeCell ref="A36:F36"/>
    <mergeCell ref="A38:F38"/>
    <mergeCell ref="A40:F40"/>
  </mergeCells>
  <printOptions/>
  <pageMargins left="0.75" right="0.75" top="0.46" bottom="0.28" header="0.36" footer="0.19"/>
  <pageSetup horizontalDpi="600" verticalDpi="6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"/>
  <dimension ref="A1:I54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6.00390625" style="0" customWidth="1"/>
    <col min="4" max="4" width="26.8515625" style="0" customWidth="1"/>
    <col min="5" max="5" width="15.421875" style="0" customWidth="1"/>
    <col min="6" max="6" width="11.28125" style="0" customWidth="1"/>
    <col min="7" max="7" width="10.7109375" style="0" customWidth="1"/>
    <col min="8" max="8" width="8.7109375" style="0" bestFit="1" customWidth="1"/>
    <col min="9" max="9" width="12.140625" style="0" bestFit="1" customWidth="1"/>
  </cols>
  <sheetData>
    <row r="1" spans="2:7" ht="30.75" thickBot="1">
      <c r="B1" s="118" t="s">
        <v>41</v>
      </c>
      <c r="C1" s="119"/>
      <c r="D1" s="119"/>
      <c r="E1" s="119"/>
      <c r="F1" s="119"/>
      <c r="G1" s="120"/>
    </row>
    <row r="2" spans="2:9" ht="12.75">
      <c r="B2" s="689" t="s">
        <v>42</v>
      </c>
      <c r="C2" s="689"/>
      <c r="D2" s="689"/>
      <c r="E2" s="689"/>
      <c r="F2" s="689"/>
      <c r="G2" s="689"/>
      <c r="I2" s="8"/>
    </row>
    <row r="3" spans="2:9" ht="12.75">
      <c r="B3" s="9"/>
      <c r="D3" s="10"/>
      <c r="E3" s="10"/>
      <c r="I3" s="8"/>
    </row>
    <row r="4" spans="2:9" ht="12.75">
      <c r="B4" s="690" t="s">
        <v>43</v>
      </c>
      <c r="C4" s="690"/>
      <c r="D4" s="690"/>
      <c r="E4" s="10"/>
      <c r="I4" s="8"/>
    </row>
    <row r="5" spans="2:9" ht="12.75">
      <c r="B5" s="11"/>
      <c r="C5" s="12"/>
      <c r="D5" s="13"/>
      <c r="E5" s="10"/>
      <c r="I5" s="8"/>
    </row>
    <row r="6" spans="2:9" ht="12.75">
      <c r="B6" s="9"/>
      <c r="D6" s="10"/>
      <c r="E6" s="10"/>
      <c r="I6" s="8"/>
    </row>
    <row r="7" spans="5:9" ht="12.75">
      <c r="E7" s="10"/>
      <c r="I7" s="8"/>
    </row>
    <row r="8" spans="2:9" ht="15.75">
      <c r="B8" s="751">
        <f>IF(D18="","",Verkauf!G6)</f>
      </c>
      <c r="C8" s="751"/>
      <c r="D8" s="751"/>
      <c r="E8" s="10"/>
      <c r="I8" s="8"/>
    </row>
    <row r="9" spans="2:9" ht="15.75">
      <c r="B9" s="136">
        <f>IF(D18="","",Verkauf!G7)</f>
      </c>
      <c r="C9" s="136"/>
      <c r="D9" s="136"/>
      <c r="E9" s="10"/>
      <c r="I9" s="8"/>
    </row>
    <row r="10" spans="2:9" ht="15.75">
      <c r="B10" s="751">
        <f>IF(D18="","",Verkauf!G8)</f>
      </c>
      <c r="C10" s="751"/>
      <c r="D10" s="751"/>
      <c r="E10" s="10"/>
      <c r="I10" s="8"/>
    </row>
    <row r="11" spans="2:9" ht="12.75">
      <c r="B11" s="14"/>
      <c r="D11" s="10"/>
      <c r="E11" s="10"/>
      <c r="I11" s="8"/>
    </row>
    <row r="12" spans="2:9" ht="12.75">
      <c r="B12" s="14"/>
      <c r="D12" s="10"/>
      <c r="E12" s="10"/>
      <c r="I12" s="8"/>
    </row>
    <row r="13" spans="2:9" ht="12.75">
      <c r="B13" s="15"/>
      <c r="C13" s="16"/>
      <c r="D13" s="17"/>
      <c r="E13" s="10"/>
      <c r="I13" s="8"/>
    </row>
    <row r="14" spans="2:9" ht="12.75">
      <c r="B14" s="9"/>
      <c r="D14" s="10"/>
      <c r="E14" s="10"/>
      <c r="I14" s="8"/>
    </row>
    <row r="15" spans="2:9" ht="22.5">
      <c r="B15" s="18" t="s">
        <v>220</v>
      </c>
      <c r="D15" s="10"/>
      <c r="E15" s="19">
        <f>IF(D18="","",Verkauf!C10)</f>
      </c>
      <c r="I15" s="8"/>
    </row>
    <row r="16" spans="2:9" ht="6.75" customHeight="1">
      <c r="B16" s="9"/>
      <c r="D16" s="10"/>
      <c r="E16" s="10"/>
      <c r="I16" s="8"/>
    </row>
    <row r="17" spans="2:9" ht="15.75">
      <c r="B17" s="20" t="s">
        <v>44</v>
      </c>
      <c r="C17" s="21"/>
      <c r="D17" s="22" t="s">
        <v>8</v>
      </c>
      <c r="E17" s="23" t="s">
        <v>45</v>
      </c>
      <c r="F17" s="21"/>
      <c r="G17" s="24" t="s">
        <v>46</v>
      </c>
      <c r="I17" s="8"/>
    </row>
    <row r="18" spans="2:9" ht="15.75">
      <c r="B18" s="25"/>
      <c r="C18" s="26"/>
      <c r="D18" s="27">
        <f>IF(Verkauf!D15=TRUE,Verkauf!C6,"")</f>
      </c>
      <c r="E18" s="28">
        <f>IF(D18="","",VLOOKUP(Verkauf!F15,BeraterVerkauf,3))</f>
      </c>
      <c r="F18" s="26"/>
      <c r="G18" s="29"/>
      <c r="I18" s="8"/>
    </row>
    <row r="19" spans="2:9" ht="15.75">
      <c r="B19" s="20" t="s">
        <v>47</v>
      </c>
      <c r="C19" s="30"/>
      <c r="D19" s="31" t="s">
        <v>48</v>
      </c>
      <c r="E19" s="32"/>
      <c r="F19" s="30"/>
      <c r="G19" s="21"/>
      <c r="I19" s="8"/>
    </row>
    <row r="20" spans="2:9" ht="16.5" thickBot="1">
      <c r="B20" s="145" t="str">
        <f>Verkauf!G10</f>
        <v>Frei Haus Lieferung</v>
      </c>
      <c r="C20" s="143"/>
      <c r="D20" s="146" t="s">
        <v>221</v>
      </c>
      <c r="E20" s="147"/>
      <c r="F20" s="143"/>
      <c r="G20" s="47"/>
      <c r="I20" s="8"/>
    </row>
    <row r="21" spans="2:9" ht="15.75">
      <c r="B21" s="149" t="s">
        <v>49</v>
      </c>
      <c r="C21" s="150" t="s">
        <v>50</v>
      </c>
      <c r="D21" s="151" t="s">
        <v>1</v>
      </c>
      <c r="E21" s="170" t="s">
        <v>51</v>
      </c>
      <c r="F21" s="152"/>
      <c r="G21" s="153"/>
      <c r="I21" s="8"/>
    </row>
    <row r="22" spans="2:9" ht="4.5" customHeight="1">
      <c r="B22" s="154"/>
      <c r="C22" s="34"/>
      <c r="D22" s="35"/>
      <c r="E22" s="33"/>
      <c r="F22" s="143"/>
      <c r="G22" s="155"/>
      <c r="I22" s="8"/>
    </row>
    <row r="23" spans="1:9" ht="38.25" customHeight="1">
      <c r="A23" s="381"/>
      <c r="B23" s="370">
        <f>IF(OR($D$18="",Verkauf!C17=""),"",1)</f>
      </c>
      <c r="C23" s="371">
        <f>IF($B23="","",Verkauf!C17)</f>
      </c>
      <c r="D23" s="372">
        <f>IF($B23="","",Verkauf!F17)</f>
      </c>
      <c r="E23" s="373">
        <f>IF($B23="","",Verkauf!D17)</f>
      </c>
      <c r="F23" s="374"/>
      <c r="G23" s="375"/>
      <c r="H23" s="376"/>
      <c r="I23" s="8"/>
    </row>
    <row r="24" spans="1:9" ht="38.25" customHeight="1">
      <c r="A24" s="381"/>
      <c r="B24" s="370">
        <f>IF(OR($D$18="",Verkauf!C18=""),"",2)</f>
      </c>
      <c r="C24" s="371">
        <f>IF($B24="","",Verkauf!C18)</f>
      </c>
      <c r="D24" s="373">
        <f>IF($B24="","",Verkauf!F18)</f>
      </c>
      <c r="E24" s="373">
        <f>IF($B24="","",Verkauf!D18)</f>
      </c>
      <c r="F24" s="374"/>
      <c r="G24" s="375"/>
      <c r="H24" s="376"/>
      <c r="I24" s="8"/>
    </row>
    <row r="25" spans="1:9" ht="38.25" customHeight="1">
      <c r="A25" s="381"/>
      <c r="B25" s="370">
        <f>IF(OR($D$18="",Verkauf!C19=""),"",3)</f>
      </c>
      <c r="C25" s="371">
        <f>IF($B25="","",Verkauf!C19)</f>
      </c>
      <c r="D25" s="373">
        <f>IF($B25="","",Verkauf!F19)</f>
      </c>
      <c r="E25" s="373">
        <f>IF($B25="","",Verkauf!D19)</f>
      </c>
      <c r="F25" s="374"/>
      <c r="G25" s="375"/>
      <c r="H25" s="376"/>
      <c r="I25" s="8"/>
    </row>
    <row r="26" spans="1:9" ht="38.25" customHeight="1">
      <c r="A26" s="381"/>
      <c r="B26" s="370">
        <f>IF(OR($D$18="",Verkauf!C20=""),"",4)</f>
      </c>
      <c r="C26" s="371">
        <f>IF($B26="","",Verkauf!C20)</f>
      </c>
      <c r="D26" s="373">
        <f>IF($B26="","",Verkauf!F20)</f>
      </c>
      <c r="E26" s="373">
        <f>IF($B26="","",Verkauf!D20)</f>
      </c>
      <c r="F26" s="374"/>
      <c r="G26" s="375"/>
      <c r="H26" s="376"/>
      <c r="I26" s="8"/>
    </row>
    <row r="27" spans="1:9" ht="38.25" customHeight="1" thickBot="1">
      <c r="A27" s="381"/>
      <c r="B27" s="397">
        <f>IF(OR($D$18="",Verkauf!C21=""),"",5)</f>
      </c>
      <c r="C27" s="377">
        <f>IF($B27="","",Verkauf!C21)</f>
      </c>
      <c r="D27" s="378">
        <f>IF($B27="","",Verkauf!F21)</f>
      </c>
      <c r="E27" s="378">
        <f>IF($B27="","",Verkauf!D21)</f>
      </c>
      <c r="F27" s="379"/>
      <c r="G27" s="380"/>
      <c r="H27" s="376"/>
      <c r="I27" s="8"/>
    </row>
    <row r="28" spans="2:9" ht="25.5" customHeight="1">
      <c r="B28" s="148" t="s">
        <v>218</v>
      </c>
      <c r="C28" s="381"/>
      <c r="D28" s="382"/>
      <c r="E28" s="383"/>
      <c r="F28" s="384"/>
      <c r="G28" s="144"/>
      <c r="I28" s="8"/>
    </row>
    <row r="29" spans="4:9" ht="13.5" customHeight="1">
      <c r="D29" s="10"/>
      <c r="E29" s="10"/>
      <c r="I29" s="8"/>
    </row>
    <row r="30" spans="2:9" ht="12.75">
      <c r="B30" s="37" t="s">
        <v>219</v>
      </c>
      <c r="C30" s="39"/>
      <c r="D30" s="40"/>
      <c r="E30" s="137">
        <f>IF(D18="","",VLOOKUP(D18,Kunden,9))</f>
      </c>
      <c r="F30" s="39"/>
      <c r="G30" s="39"/>
      <c r="I30" s="8"/>
    </row>
    <row r="31" spans="2:9" ht="12.75">
      <c r="B31" s="38"/>
      <c r="C31" s="39"/>
      <c r="D31" s="40"/>
      <c r="E31" s="40"/>
      <c r="F31" s="39"/>
      <c r="G31" s="39"/>
      <c r="I31" s="8"/>
    </row>
    <row r="32" spans="2:9" ht="6" customHeight="1">
      <c r="B32" s="9"/>
      <c r="D32" s="10"/>
      <c r="E32" s="10"/>
      <c r="I32" s="8"/>
    </row>
    <row r="33" spans="2:9" ht="13.5" thickBot="1">
      <c r="B33" s="9" t="s">
        <v>53</v>
      </c>
      <c r="D33" s="10"/>
      <c r="E33" s="10"/>
      <c r="I33" s="8"/>
    </row>
    <row r="34" spans="2:9" ht="12.75">
      <c r="B34" s="41" t="s">
        <v>54</v>
      </c>
      <c r="C34" s="42"/>
      <c r="D34" s="43" t="s">
        <v>55</v>
      </c>
      <c r="E34" s="43" t="s">
        <v>56</v>
      </c>
      <c r="F34" s="42" t="s">
        <v>57</v>
      </c>
      <c r="G34" s="44"/>
      <c r="I34" s="8"/>
    </row>
    <row r="35" spans="2:9" ht="12.75">
      <c r="B35" s="9" t="s">
        <v>58</v>
      </c>
      <c r="D35" s="10" t="s">
        <v>59</v>
      </c>
      <c r="E35" s="10" t="s">
        <v>60</v>
      </c>
      <c r="F35" t="s">
        <v>61</v>
      </c>
      <c r="I35" s="8"/>
    </row>
    <row r="36" spans="2:9" ht="12.75">
      <c r="B36" s="9" t="s">
        <v>16</v>
      </c>
      <c r="D36" s="45" t="s">
        <v>62</v>
      </c>
      <c r="E36" s="10" t="s">
        <v>63</v>
      </c>
      <c r="F36" t="s">
        <v>64</v>
      </c>
      <c r="I36" s="8"/>
    </row>
    <row r="37" spans="2:9" ht="12.75">
      <c r="B37" s="9" t="s">
        <v>65</v>
      </c>
      <c r="D37" s="45" t="s">
        <v>66</v>
      </c>
      <c r="E37" s="46" t="s">
        <v>67</v>
      </c>
      <c r="I37" s="8"/>
    </row>
    <row r="38" spans="2:9" ht="12.75">
      <c r="B38" s="9"/>
      <c r="D38" s="10"/>
      <c r="E38" s="10"/>
      <c r="I38" s="8"/>
    </row>
    <row r="39" spans="2:9" ht="12.75">
      <c r="B39" s="9"/>
      <c r="D39" s="10"/>
      <c r="E39" s="10"/>
      <c r="I39" s="8"/>
    </row>
    <row r="40" spans="2:9" ht="12.75">
      <c r="B40" s="9"/>
      <c r="D40" s="10"/>
      <c r="E40" s="10"/>
      <c r="I40" s="8"/>
    </row>
    <row r="41" spans="2:9" ht="12.75">
      <c r="B41" s="9"/>
      <c r="D41" s="10"/>
      <c r="E41" s="10"/>
      <c r="I41" s="8"/>
    </row>
    <row r="42" spans="2:9" ht="12.75">
      <c r="B42" s="9"/>
      <c r="D42" s="10"/>
      <c r="E42" s="10"/>
      <c r="I42" s="8"/>
    </row>
    <row r="43" spans="2:9" ht="12.75">
      <c r="B43" s="9"/>
      <c r="D43" s="10"/>
      <c r="E43" s="10"/>
      <c r="I43" s="8"/>
    </row>
    <row r="44" spans="2:9" ht="12.75">
      <c r="B44" s="9"/>
      <c r="D44" s="10"/>
      <c r="E44" s="10"/>
      <c r="I44" s="8"/>
    </row>
    <row r="45" spans="2:9" ht="12.75">
      <c r="B45" s="9"/>
      <c r="D45" s="10"/>
      <c r="E45" s="10"/>
      <c r="I45" s="8"/>
    </row>
    <row r="46" spans="2:9" ht="12.75">
      <c r="B46" s="9"/>
      <c r="D46" s="10"/>
      <c r="E46" s="10"/>
      <c r="I46" s="8"/>
    </row>
    <row r="47" spans="2:9" ht="12.75">
      <c r="B47" s="9"/>
      <c r="D47" s="10"/>
      <c r="E47" s="10"/>
      <c r="I47" s="8"/>
    </row>
    <row r="48" spans="2:9" ht="12.75">
      <c r="B48" s="9"/>
      <c r="D48" s="10"/>
      <c r="E48" s="10"/>
      <c r="I48" s="8"/>
    </row>
    <row r="49" spans="2:9" ht="12.75">
      <c r="B49" s="9"/>
      <c r="D49" s="10"/>
      <c r="E49" s="10"/>
      <c r="I49" s="8"/>
    </row>
    <row r="50" spans="2:9" ht="12.75">
      <c r="B50" s="9"/>
      <c r="D50" s="10"/>
      <c r="E50" s="10"/>
      <c r="I50" s="8"/>
    </row>
    <row r="51" spans="2:9" ht="12.75">
      <c r="B51" s="9"/>
      <c r="D51" s="10"/>
      <c r="E51" s="10"/>
      <c r="I51" s="8"/>
    </row>
    <row r="54" ht="12.75">
      <c r="I54" s="10"/>
    </row>
  </sheetData>
  <mergeCells count="4">
    <mergeCell ref="B10:D10"/>
    <mergeCell ref="B2:G2"/>
    <mergeCell ref="B4:D4"/>
    <mergeCell ref="B8:D8"/>
  </mergeCells>
  <printOptions/>
  <pageMargins left="0.42" right="0.75" top="0.7" bottom="0.6" header="0.35" footer="0.21"/>
  <pageSetup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81"/>
  <sheetViews>
    <sheetView showGridLines="0" showRowColHeaders="0" workbookViewId="0" topLeftCell="A1">
      <selection activeCell="A1" sqref="A1:G1"/>
    </sheetView>
  </sheetViews>
  <sheetFormatPr defaultColWidth="11.421875" defaultRowHeight="12.75"/>
  <cols>
    <col min="1" max="1" width="8.140625" style="0" customWidth="1"/>
    <col min="2" max="2" width="23.57421875" style="0" customWidth="1"/>
    <col min="3" max="3" width="28.8515625" style="0" customWidth="1"/>
    <col min="4" max="4" width="14.140625" style="0" customWidth="1"/>
    <col min="5" max="5" width="11.8515625" style="0" customWidth="1"/>
    <col min="6" max="6" width="7.8515625" style="0" customWidth="1"/>
    <col min="7" max="7" width="14.7109375" style="0" bestFit="1" customWidth="1"/>
    <col min="8" max="8" width="12.140625" style="0" bestFit="1" customWidth="1"/>
  </cols>
  <sheetData>
    <row r="1" spans="1:7" ht="30.75" thickBot="1">
      <c r="A1" s="752" t="s">
        <v>41</v>
      </c>
      <c r="B1" s="753"/>
      <c r="C1" s="753"/>
      <c r="D1" s="753"/>
      <c r="E1" s="753"/>
      <c r="F1" s="753"/>
      <c r="G1" s="754"/>
    </row>
    <row r="2" spans="1:8" ht="12.75">
      <c r="A2" s="728" t="s">
        <v>42</v>
      </c>
      <c r="B2" s="728"/>
      <c r="C2" s="728"/>
      <c r="D2" s="728"/>
      <c r="E2" s="728"/>
      <c r="F2" s="728"/>
      <c r="G2" s="381"/>
      <c r="H2" s="8"/>
    </row>
    <row r="3" spans="1:8" ht="12.75">
      <c r="A3" s="431"/>
      <c r="B3" s="381"/>
      <c r="C3" s="432"/>
      <c r="D3" s="432"/>
      <c r="E3" s="381"/>
      <c r="F3" s="381"/>
      <c r="G3" s="381"/>
      <c r="H3" s="8"/>
    </row>
    <row r="4" spans="1:8" ht="12.75">
      <c r="A4" s="750" t="s">
        <v>43</v>
      </c>
      <c r="B4" s="750"/>
      <c r="C4" s="750"/>
      <c r="D4" s="432"/>
      <c r="E4" s="381"/>
      <c r="F4" s="381"/>
      <c r="G4" s="381"/>
      <c r="H4" s="8"/>
    </row>
    <row r="5" spans="1:8" ht="12.75">
      <c r="A5" s="433"/>
      <c r="B5" s="434"/>
      <c r="C5" s="435"/>
      <c r="D5" s="432"/>
      <c r="E5" s="381"/>
      <c r="F5" s="381"/>
      <c r="G5" s="381"/>
      <c r="H5" s="8"/>
    </row>
    <row r="6" spans="1:8" ht="12.75">
      <c r="A6" s="431"/>
      <c r="B6" s="381"/>
      <c r="C6" s="432"/>
      <c r="D6" s="432"/>
      <c r="E6" s="381"/>
      <c r="F6" s="381"/>
      <c r="G6" s="381"/>
      <c r="H6" s="8"/>
    </row>
    <row r="7" spans="1:8" ht="12.75">
      <c r="A7" s="381"/>
      <c r="B7" s="381"/>
      <c r="C7" s="381"/>
      <c r="D7" s="432"/>
      <c r="E7" s="381"/>
      <c r="F7" s="381"/>
      <c r="G7" s="381"/>
      <c r="H7" s="8"/>
    </row>
    <row r="8" spans="1:8" ht="15.75">
      <c r="A8" s="749">
        <f>IF(C18="","",Verkauf!G6)</f>
      </c>
      <c r="B8" s="749"/>
      <c r="C8" s="749"/>
      <c r="D8" s="432"/>
      <c r="E8" s="381"/>
      <c r="F8" s="381"/>
      <c r="G8" s="381"/>
      <c r="H8" s="8"/>
    </row>
    <row r="9" spans="1:8" ht="15.75">
      <c r="A9" s="436">
        <f>IF(C18="","",Verkauf!G7)</f>
      </c>
      <c r="B9" s="436"/>
      <c r="C9" s="436"/>
      <c r="D9" s="432"/>
      <c r="E9" s="381"/>
      <c r="F9" s="381"/>
      <c r="G9" s="381"/>
      <c r="H9" s="8"/>
    </row>
    <row r="10" spans="1:8" ht="15.75">
      <c r="A10" s="436">
        <f>IF(C18="","",Verkauf!G8)</f>
      </c>
      <c r="B10" s="436"/>
      <c r="C10" s="436"/>
      <c r="D10" s="432"/>
      <c r="E10" s="381"/>
      <c r="F10" s="381"/>
      <c r="G10" s="381"/>
      <c r="H10" s="8"/>
    </row>
    <row r="11" spans="1:8" ht="12.75">
      <c r="A11" s="437"/>
      <c r="B11" s="381"/>
      <c r="C11" s="432"/>
      <c r="D11" s="432"/>
      <c r="E11" s="381"/>
      <c r="F11" s="381"/>
      <c r="G11" s="381"/>
      <c r="H11" s="8"/>
    </row>
    <row r="12" spans="1:8" ht="12.75">
      <c r="A12" s="437"/>
      <c r="B12" s="381"/>
      <c r="C12" s="432"/>
      <c r="D12" s="432"/>
      <c r="E12" s="381"/>
      <c r="F12" s="381"/>
      <c r="G12" s="381"/>
      <c r="H12" s="8"/>
    </row>
    <row r="13" spans="1:8" ht="12.75">
      <c r="A13" s="438"/>
      <c r="B13" s="439"/>
      <c r="C13" s="440"/>
      <c r="D13" s="432"/>
      <c r="E13" s="381"/>
      <c r="F13" s="381"/>
      <c r="G13" s="381"/>
      <c r="H13" s="8"/>
    </row>
    <row r="14" spans="1:8" ht="12.75">
      <c r="A14" s="431"/>
      <c r="B14" s="381"/>
      <c r="C14" s="432"/>
      <c r="D14" s="432"/>
      <c r="E14" s="381"/>
      <c r="F14" s="381"/>
      <c r="G14" s="381"/>
      <c r="H14" s="8"/>
    </row>
    <row r="15" spans="1:8" ht="22.5">
      <c r="A15" s="441" t="s">
        <v>223</v>
      </c>
      <c r="B15" s="381"/>
      <c r="C15" s="432"/>
      <c r="D15" s="442">
        <f>IF(C18="","",Verkauf!D10)</f>
      </c>
      <c r="E15" s="381"/>
      <c r="F15" s="381"/>
      <c r="G15" s="381"/>
      <c r="H15" s="8"/>
    </row>
    <row r="16" spans="1:8" ht="6.75" customHeight="1" thickBot="1">
      <c r="A16" s="431"/>
      <c r="B16" s="381"/>
      <c r="C16" s="432"/>
      <c r="D16" s="432"/>
      <c r="E16" s="381"/>
      <c r="F16" s="381"/>
      <c r="G16" s="381"/>
      <c r="H16" s="8"/>
    </row>
    <row r="17" spans="1:8" ht="15.75">
      <c r="A17" s="443" t="s">
        <v>44</v>
      </c>
      <c r="B17" s="444"/>
      <c r="C17" s="445" t="s">
        <v>8</v>
      </c>
      <c r="D17" s="446" t="s">
        <v>45</v>
      </c>
      <c r="E17" s="444"/>
      <c r="F17" s="755" t="s">
        <v>234</v>
      </c>
      <c r="G17" s="756"/>
      <c r="H17" s="8"/>
    </row>
    <row r="18" spans="1:8" ht="15.75">
      <c r="A18" s="448"/>
      <c r="B18" s="449"/>
      <c r="C18" s="450">
        <f>IF(Verkauf!E15=TRUE,Verkauf!C6,"")</f>
      </c>
      <c r="D18" s="451">
        <f>IF(C18="","",VLOOKUP(Verkauf!F15,BeraterVerkauf,3))</f>
      </c>
      <c r="E18" s="449"/>
      <c r="F18" s="757"/>
      <c r="G18" s="758"/>
      <c r="H18" s="8"/>
    </row>
    <row r="19" spans="1:8" ht="15.75">
      <c r="A19" s="453" t="s">
        <v>47</v>
      </c>
      <c r="B19" s="454"/>
      <c r="C19" s="455" t="s">
        <v>48</v>
      </c>
      <c r="D19" s="456"/>
      <c r="E19" s="454"/>
      <c r="F19" s="471"/>
      <c r="G19" s="498"/>
      <c r="H19" s="8"/>
    </row>
    <row r="20" spans="1:8" ht="15.75">
      <c r="A20" s="448"/>
      <c r="B20" s="458"/>
      <c r="C20" s="459"/>
      <c r="D20" s="460"/>
      <c r="E20" s="458"/>
      <c r="F20" s="471"/>
      <c r="G20" s="498"/>
      <c r="H20" s="8"/>
    </row>
    <row r="21" spans="1:8" ht="12.75">
      <c r="A21" s="499" t="s">
        <v>49</v>
      </c>
      <c r="B21" s="500" t="s">
        <v>50</v>
      </c>
      <c r="C21" s="501" t="s">
        <v>1</v>
      </c>
      <c r="D21" s="502" t="s">
        <v>51</v>
      </c>
      <c r="E21" s="502" t="s">
        <v>52</v>
      </c>
      <c r="F21" s="502" t="s">
        <v>13</v>
      </c>
      <c r="G21" s="164" t="s">
        <v>68</v>
      </c>
      <c r="H21" s="8"/>
    </row>
    <row r="22" spans="1:8" ht="4.5" customHeight="1">
      <c r="A22" s="467"/>
      <c r="B22" s="468"/>
      <c r="C22" s="469"/>
      <c r="D22" s="470"/>
      <c r="E22" s="471"/>
      <c r="F22" s="503"/>
      <c r="G22" s="504"/>
      <c r="H22" s="8"/>
    </row>
    <row r="23" spans="1:8" ht="38.25" customHeight="1">
      <c r="A23" s="370">
        <f>IF(OR(Verkauf!C17="",$C$18=""),"",1)</f>
      </c>
      <c r="B23" s="371">
        <f>IF($A23="","",Verkauf!C17)</f>
      </c>
      <c r="C23" s="373">
        <f>IF($A23="","",Verkauf!F17)</f>
      </c>
      <c r="D23" s="505">
        <f>IF($A23="","",Verkauf!D17)</f>
      </c>
      <c r="E23" s="506">
        <f>IF($A23="","",Verkauf!H17)</f>
      </c>
      <c r="F23" s="507">
        <f>IF($A23="","",Verkauf!I17)</f>
      </c>
      <c r="G23" s="508">
        <f>IF(B23="","",D23*E23*(1-F23))</f>
      </c>
      <c r="H23" s="8"/>
    </row>
    <row r="24" spans="1:8" ht="38.25" customHeight="1">
      <c r="A24" s="370">
        <f>IF(OR(Verkauf!C18="",$C$18=""),"",2)</f>
      </c>
      <c r="B24" s="371">
        <f>IF($A24="","",Verkauf!C18)</f>
      </c>
      <c r="C24" s="373">
        <f>IF($A24="","",Verkauf!F18)</f>
      </c>
      <c r="D24" s="505">
        <f>IF($A24="","",Verkauf!D18)</f>
      </c>
      <c r="E24" s="506">
        <f>IF($A24="","",Verkauf!H18)</f>
      </c>
      <c r="F24" s="507">
        <f>IF($A24="","",Verkauf!I18)</f>
      </c>
      <c r="G24" s="508">
        <f>IF(B24="","",D24*E24*(1-F24))</f>
      </c>
      <c r="H24" s="8"/>
    </row>
    <row r="25" spans="1:8" ht="38.25" customHeight="1">
      <c r="A25" s="370">
        <f>IF(OR(Verkauf!C19="",$C$18=""),"",3)</f>
      </c>
      <c r="B25" s="371">
        <f>IF($A25="","",Verkauf!C19)</f>
      </c>
      <c r="C25" s="373">
        <f>IF($A25="","",Verkauf!F19)</f>
      </c>
      <c r="D25" s="505">
        <f>IF($A25="","",Verkauf!D19)</f>
      </c>
      <c r="E25" s="506">
        <f>IF($A25="","",Verkauf!H19)</f>
      </c>
      <c r="F25" s="507">
        <f>IF($A25="","",Verkauf!I19)</f>
      </c>
      <c r="G25" s="508">
        <f>IF(B25="","",D25*E25*(1-F25))</f>
      </c>
      <c r="H25" s="8"/>
    </row>
    <row r="26" spans="1:8" ht="38.25" customHeight="1">
      <c r="A26" s="370">
        <f>IF(OR(Verkauf!C20="",$C$18=""),"",4)</f>
      </c>
      <c r="B26" s="371">
        <f>IF($A26="","",Verkauf!C20)</f>
      </c>
      <c r="C26" s="373">
        <f>IF($A26="","",Verkauf!F20)</f>
      </c>
      <c r="D26" s="505">
        <f>IF($A26="","",Verkauf!D20)</f>
      </c>
      <c r="E26" s="506">
        <f>IF($A26="","",Verkauf!H20)</f>
      </c>
      <c r="F26" s="507">
        <f>IF($A26="","",Verkauf!I20)</f>
      </c>
      <c r="G26" s="508">
        <f>IF(B26="","",D26*E26*(1-F26))</f>
      </c>
      <c r="H26" s="8"/>
    </row>
    <row r="27" spans="1:8" ht="38.25" customHeight="1" thickBot="1">
      <c r="A27" s="370">
        <f>IF(OR(Verkauf!C21="",$C$18=""),"",5)</f>
      </c>
      <c r="B27" s="377">
        <f>IF($A27="","",Verkauf!C21)</f>
      </c>
      <c r="C27" s="378">
        <f>IF($A27="","",Verkauf!F21)</f>
      </c>
      <c r="D27" s="509">
        <f>IF($A27="","",Verkauf!D21)</f>
      </c>
      <c r="E27" s="510">
        <f>IF($A27="","",Verkauf!H21)</f>
      </c>
      <c r="F27" s="511">
        <f>IF($A27="","",Verkauf!I21)</f>
      </c>
      <c r="G27" s="512">
        <f>IF(B27="","",D27*E27*(1-F27))</f>
      </c>
      <c r="H27" s="8"/>
    </row>
    <row r="28" spans="1:8" ht="15.75">
      <c r="A28" s="513" t="s">
        <v>224</v>
      </c>
      <c r="B28" s="514"/>
      <c r="C28" s="515">
        <f>SUM(G23:G27)</f>
        <v>0</v>
      </c>
      <c r="D28" s="514"/>
      <c r="E28" s="516" t="s">
        <v>227</v>
      </c>
      <c r="F28" s="759" t="e">
        <f>C28-C30</f>
        <v>#N/A</v>
      </c>
      <c r="G28" s="760"/>
      <c r="H28" s="8"/>
    </row>
    <row r="29" spans="1:8" ht="13.5" customHeight="1">
      <c r="A29" s="381" t="s">
        <v>225</v>
      </c>
      <c r="B29" s="381"/>
      <c r="C29" s="517" t="e">
        <f>VLOOKUP(C18,Kunden,9)</f>
        <v>#N/A</v>
      </c>
      <c r="D29" s="432"/>
      <c r="E29" s="381" t="s">
        <v>228</v>
      </c>
      <c r="F29" s="518">
        <v>0.16</v>
      </c>
      <c r="G29" s="519" t="e">
        <f>F28*F29</f>
        <v>#N/A</v>
      </c>
      <c r="H29" s="8"/>
    </row>
    <row r="30" spans="1:8" ht="15.75">
      <c r="A30" s="479" t="s">
        <v>226</v>
      </c>
      <c r="B30" s="480"/>
      <c r="C30" s="520" t="e">
        <f>ROUND(C28*C29,2)</f>
        <v>#N/A</v>
      </c>
      <c r="D30" s="482"/>
      <c r="E30" s="718" t="s">
        <v>229</v>
      </c>
      <c r="F30" s="718"/>
      <c r="G30" s="521" t="e">
        <f>F28+G29</f>
        <v>#N/A</v>
      </c>
      <c r="H30" s="8"/>
    </row>
    <row r="31" spans="1:8" ht="15.75">
      <c r="A31" s="165">
        <f>Sonstiges!B18</f>
        <v>0.03</v>
      </c>
      <c r="B31" s="480" t="s">
        <v>69</v>
      </c>
      <c r="C31" s="522">
        <f>F18+Sonstiges!A18</f>
        <v>14</v>
      </c>
      <c r="D31" s="481"/>
      <c r="E31" s="480" t="s">
        <v>230</v>
      </c>
      <c r="F31" s="480"/>
      <c r="G31" s="519" t="e">
        <f>G30*A31</f>
        <v>#N/A</v>
      </c>
      <c r="H31" s="8"/>
    </row>
    <row r="32" spans="1:8" ht="12.75">
      <c r="A32" s="483"/>
      <c r="B32" s="480"/>
      <c r="C32" s="481"/>
      <c r="D32" s="481"/>
      <c r="E32" s="523" t="s">
        <v>231</v>
      </c>
      <c r="F32" s="523"/>
      <c r="G32" s="524" t="e">
        <f>G30-G31</f>
        <v>#N/A</v>
      </c>
      <c r="H32" s="8"/>
    </row>
    <row r="33" spans="1:8" ht="12.75">
      <c r="A33" s="525" t="s">
        <v>232</v>
      </c>
      <c r="B33" s="526"/>
      <c r="C33" s="527" t="s">
        <v>233</v>
      </c>
      <c r="D33" s="481"/>
      <c r="E33" s="480"/>
      <c r="F33" s="480"/>
      <c r="G33" s="381"/>
      <c r="H33" s="8"/>
    </row>
    <row r="34" spans="1:8" ht="6" customHeight="1">
      <c r="A34" s="528"/>
      <c r="B34" s="381"/>
      <c r="C34" s="432"/>
      <c r="D34" s="432"/>
      <c r="E34" s="381"/>
      <c r="F34" s="381"/>
      <c r="G34" s="381"/>
      <c r="H34" s="8"/>
    </row>
    <row r="35" spans="1:8" ht="12.75">
      <c r="A35" s="528" t="s">
        <v>53</v>
      </c>
      <c r="B35" s="381"/>
      <c r="C35" s="432"/>
      <c r="D35" s="432"/>
      <c r="E35" s="381"/>
      <c r="F35" s="381"/>
      <c r="G35" s="381"/>
      <c r="H35" s="8"/>
    </row>
    <row r="36" spans="1:8" ht="12.75">
      <c r="A36" s="528"/>
      <c r="B36" s="381"/>
      <c r="C36" s="432"/>
      <c r="D36" s="432"/>
      <c r="E36" s="381"/>
      <c r="F36" s="381"/>
      <c r="G36" s="381"/>
      <c r="H36" s="8"/>
    </row>
    <row r="37" spans="1:8" ht="12.75">
      <c r="A37" s="528"/>
      <c r="B37" s="381"/>
      <c r="C37" s="432"/>
      <c r="D37" s="432"/>
      <c r="E37" s="381"/>
      <c r="F37" s="381"/>
      <c r="G37" s="381"/>
      <c r="H37" s="8"/>
    </row>
    <row r="38" spans="1:8" ht="12.75">
      <c r="A38" s="715" t="s">
        <v>240</v>
      </c>
      <c r="B38" s="715"/>
      <c r="C38" s="715"/>
      <c r="D38" s="715"/>
      <c r="E38" s="715"/>
      <c r="F38" s="715"/>
      <c r="G38" s="381"/>
      <c r="H38" s="8"/>
    </row>
    <row r="39" spans="1:8" ht="12.75">
      <c r="A39" s="253"/>
      <c r="B39" s="237"/>
      <c r="C39" s="485"/>
      <c r="D39" s="485"/>
      <c r="E39" s="237"/>
      <c r="F39" s="237"/>
      <c r="G39" s="381"/>
      <c r="H39" s="8"/>
    </row>
    <row r="40" spans="1:8" ht="12.75">
      <c r="A40" s="715" t="s">
        <v>241</v>
      </c>
      <c r="B40" s="715"/>
      <c r="C40" s="715"/>
      <c r="D40" s="715"/>
      <c r="E40" s="715"/>
      <c r="F40" s="715"/>
      <c r="G40" s="381"/>
      <c r="H40" s="8"/>
    </row>
    <row r="41" spans="1:8" ht="12.75">
      <c r="A41" s="486"/>
      <c r="B41" s="487"/>
      <c r="C41" s="488"/>
      <c r="D41" s="488"/>
      <c r="E41" s="487"/>
      <c r="F41" s="487"/>
      <c r="G41" s="381"/>
      <c r="H41" s="8"/>
    </row>
    <row r="42" spans="1:8" ht="22.5">
      <c r="A42" s="748" t="str">
        <f>VLOOKUP(Verkauf!F15,BeraterVerkauf,4)</f>
        <v>W. Kernen</v>
      </c>
      <c r="B42" s="748"/>
      <c r="C42" s="748"/>
      <c r="D42" s="748"/>
      <c r="E42" s="748"/>
      <c r="F42" s="748"/>
      <c r="G42" s="381"/>
      <c r="H42" s="8"/>
    </row>
    <row r="43" spans="1:8" ht="12.75">
      <c r="A43" s="484"/>
      <c r="B43" s="487"/>
      <c r="C43" s="488"/>
      <c r="D43" s="488"/>
      <c r="E43" s="487"/>
      <c r="F43" s="487"/>
      <c r="G43" s="381"/>
      <c r="H43" s="8"/>
    </row>
    <row r="44" spans="1:8" ht="12.75">
      <c r="A44" s="715" t="str">
        <f>VLOOKUP(Verkauf!F15,BeraterVerkauf,5)</f>
        <v>i. A. Willi Kernen</v>
      </c>
      <c r="B44" s="715"/>
      <c r="C44" s="715"/>
      <c r="D44" s="715"/>
      <c r="E44" s="715"/>
      <c r="F44" s="715"/>
      <c r="G44" s="381"/>
      <c r="H44" s="8"/>
    </row>
    <row r="45" spans="1:8" ht="12.75">
      <c r="A45" s="528"/>
      <c r="B45" s="381"/>
      <c r="C45" s="493"/>
      <c r="D45" s="432"/>
      <c r="E45" s="381"/>
      <c r="F45" s="381"/>
      <c r="G45" s="381"/>
      <c r="H45" s="8"/>
    </row>
    <row r="46" spans="1:8" ht="13.5" thickBot="1">
      <c r="A46" s="528"/>
      <c r="B46" s="381"/>
      <c r="C46" s="493"/>
      <c r="D46" s="494"/>
      <c r="E46" s="381"/>
      <c r="F46" s="381"/>
      <c r="G46" s="381"/>
      <c r="H46" s="8"/>
    </row>
    <row r="47" spans="1:8" ht="12.75">
      <c r="A47" s="489" t="s">
        <v>54</v>
      </c>
      <c r="B47" s="490"/>
      <c r="C47" s="491" t="s">
        <v>55</v>
      </c>
      <c r="D47" s="491" t="s">
        <v>56</v>
      </c>
      <c r="E47" s="490" t="s">
        <v>57</v>
      </c>
      <c r="F47" s="492"/>
      <c r="G47" s="381"/>
      <c r="H47" s="8"/>
    </row>
    <row r="48" spans="1:8" ht="12.75">
      <c r="A48" s="431" t="s">
        <v>58</v>
      </c>
      <c r="B48" s="381"/>
      <c r="C48" s="432" t="s">
        <v>59</v>
      </c>
      <c r="D48" s="432" t="s">
        <v>60</v>
      </c>
      <c r="E48" s="381" t="s">
        <v>61</v>
      </c>
      <c r="F48" s="381"/>
      <c r="G48" s="381"/>
      <c r="H48" s="8"/>
    </row>
    <row r="49" spans="1:8" ht="12.75">
      <c r="A49" s="431" t="s">
        <v>16</v>
      </c>
      <c r="B49" s="381"/>
      <c r="C49" s="493" t="s">
        <v>62</v>
      </c>
      <c r="D49" s="432" t="s">
        <v>63</v>
      </c>
      <c r="E49" s="381" t="s">
        <v>64</v>
      </c>
      <c r="F49" s="381"/>
      <c r="G49" s="381"/>
      <c r="H49" s="8"/>
    </row>
    <row r="50" spans="1:8" ht="12.75">
      <c r="A50" s="431" t="s">
        <v>65</v>
      </c>
      <c r="B50" s="381"/>
      <c r="C50" s="493" t="s">
        <v>66</v>
      </c>
      <c r="D50" s="494" t="s">
        <v>67</v>
      </c>
      <c r="E50" s="381"/>
      <c r="F50" s="381"/>
      <c r="G50" s="381"/>
      <c r="H50" s="8"/>
    </row>
    <row r="51" spans="1:8" ht="12.75">
      <c r="A51" s="9"/>
      <c r="C51" s="10"/>
      <c r="D51" s="10"/>
      <c r="H51" s="8"/>
    </row>
    <row r="52" spans="1:8" ht="12.75">
      <c r="A52" s="9"/>
      <c r="C52" s="10"/>
      <c r="D52" s="10"/>
      <c r="H52" s="8"/>
    </row>
    <row r="53" spans="1:8" ht="12.75">
      <c r="A53" s="9"/>
      <c r="C53" s="10"/>
      <c r="D53" s="10"/>
      <c r="H53" s="8"/>
    </row>
    <row r="54" spans="1:8" ht="12.75">
      <c r="A54" s="9"/>
      <c r="C54" s="10"/>
      <c r="D54" s="10"/>
      <c r="H54" s="8"/>
    </row>
    <row r="55" spans="1:8" ht="12.75">
      <c r="A55" s="9"/>
      <c r="C55" s="10"/>
      <c r="D55" s="10"/>
      <c r="H55" s="8"/>
    </row>
    <row r="56" spans="1:8" ht="13.5" thickBot="1">
      <c r="A56" s="9"/>
      <c r="C56" s="10"/>
      <c r="D56" s="10"/>
      <c r="H56" s="8"/>
    </row>
    <row r="57" spans="1:8" ht="18.75" thickBot="1">
      <c r="A57" s="720" t="s">
        <v>387</v>
      </c>
      <c r="B57" s="721"/>
      <c r="C57" s="721"/>
      <c r="D57" s="722"/>
      <c r="H57" s="8"/>
    </row>
    <row r="58" spans="1:8" ht="12.75">
      <c r="A58" s="9"/>
      <c r="C58" s="10"/>
      <c r="D58" s="10"/>
      <c r="H58" s="8"/>
    </row>
    <row r="59" spans="1:4" ht="18">
      <c r="A59" s="639" t="s">
        <v>400</v>
      </c>
      <c r="B59" s="630"/>
      <c r="C59" s="631" t="s">
        <v>396</v>
      </c>
      <c r="D59" s="632" t="s">
        <v>397</v>
      </c>
    </row>
    <row r="60" spans="1:4" ht="15">
      <c r="A60" s="628"/>
      <c r="B60" s="628"/>
      <c r="C60" s="628"/>
      <c r="D60" s="629"/>
    </row>
    <row r="61" spans="1:8" ht="15.75">
      <c r="A61" s="640" t="str">
        <f>C18&amp;" "&amp;A8</f>
        <v> </v>
      </c>
      <c r="B61" s="628"/>
      <c r="C61" s="633" t="e">
        <f>G30</f>
        <v>#N/A</v>
      </c>
      <c r="D61" s="634"/>
      <c r="H61" s="10"/>
    </row>
    <row r="62" spans="1:4" ht="15.75">
      <c r="A62" s="626" t="s">
        <v>401</v>
      </c>
      <c r="B62" s="628"/>
      <c r="C62" s="633"/>
      <c r="D62" s="634" t="e">
        <f>F28</f>
        <v>#N/A</v>
      </c>
    </row>
    <row r="63" spans="1:4" ht="15.75">
      <c r="A63" s="626" t="s">
        <v>402</v>
      </c>
      <c r="B63" s="628"/>
      <c r="C63" s="633"/>
      <c r="D63" s="634" t="e">
        <f>G29</f>
        <v>#N/A</v>
      </c>
    </row>
    <row r="64" spans="1:4" ht="15.75">
      <c r="A64" s="626"/>
      <c r="B64" s="628"/>
      <c r="C64" s="626"/>
      <c r="D64" s="634"/>
    </row>
    <row r="65" spans="1:4" ht="15.75">
      <c r="A65" s="628"/>
      <c r="B65" s="628"/>
      <c r="C65" s="626"/>
      <c r="D65" s="635"/>
    </row>
    <row r="66" spans="1:4" ht="18">
      <c r="A66" s="639" t="s">
        <v>399</v>
      </c>
      <c r="B66" s="630"/>
      <c r="C66" s="636"/>
      <c r="D66" s="637"/>
    </row>
    <row r="67" spans="1:4" ht="15.75">
      <c r="A67" s="628"/>
      <c r="B67" s="628"/>
      <c r="C67" s="626"/>
      <c r="D67" s="635"/>
    </row>
    <row r="68" spans="1:4" ht="15.75">
      <c r="A68" s="626" t="s">
        <v>403</v>
      </c>
      <c r="B68" s="628"/>
      <c r="C68" s="633" t="e">
        <f>C61</f>
        <v>#N/A</v>
      </c>
      <c r="D68" s="635"/>
    </row>
    <row r="69" spans="1:4" ht="15.75">
      <c r="A69" s="626" t="str">
        <f>"an "&amp;C18&amp;" "&amp;A8</f>
        <v>an  </v>
      </c>
      <c r="B69" s="628"/>
      <c r="C69" s="626"/>
      <c r="D69" s="634" t="e">
        <f>C61</f>
        <v>#N/A</v>
      </c>
    </row>
    <row r="70" spans="1:4" ht="15.75">
      <c r="A70" s="628"/>
      <c r="B70" s="628"/>
      <c r="C70" s="626"/>
      <c r="D70" s="635"/>
    </row>
    <row r="71" spans="1:4" ht="15.75">
      <c r="A71" s="628"/>
      <c r="B71" s="628"/>
      <c r="C71" s="626"/>
      <c r="D71" s="635"/>
    </row>
    <row r="72" spans="1:4" ht="18">
      <c r="A72" s="639" t="s">
        <v>398</v>
      </c>
      <c r="B72" s="630"/>
      <c r="C72" s="636"/>
      <c r="D72" s="637"/>
    </row>
    <row r="73" spans="1:4" ht="15.75">
      <c r="A73" s="628"/>
      <c r="B73" s="628"/>
      <c r="C73" s="626"/>
      <c r="D73" s="635"/>
    </row>
    <row r="74" spans="1:4" ht="15.75">
      <c r="A74" s="626" t="s">
        <v>403</v>
      </c>
      <c r="B74" s="628"/>
      <c r="C74" s="633" t="e">
        <f>G32</f>
        <v>#N/A</v>
      </c>
      <c r="D74" s="635"/>
    </row>
    <row r="75" spans="1:4" ht="15.75">
      <c r="A75" s="626" t="s">
        <v>404</v>
      </c>
      <c r="B75" s="628"/>
      <c r="C75" s="633" t="e">
        <f>ROUND(G31/(1+F29)*F29,2)</f>
        <v>#N/A</v>
      </c>
      <c r="D75" s="634"/>
    </row>
    <row r="76" spans="1:4" ht="15.75">
      <c r="A76" s="626" t="s">
        <v>405</v>
      </c>
      <c r="B76" s="628"/>
      <c r="C76" s="633" t="e">
        <f>ROUND(G31/(1+F29),2)</f>
        <v>#N/A</v>
      </c>
      <c r="D76" s="638"/>
    </row>
    <row r="77" spans="1:4" ht="15.75">
      <c r="A77" s="626" t="str">
        <f>"an "&amp;C18&amp;" "&amp;A8</f>
        <v>an  </v>
      </c>
      <c r="B77" s="628"/>
      <c r="C77" s="626"/>
      <c r="D77" s="634" t="e">
        <f>D69</f>
        <v>#N/A</v>
      </c>
    </row>
    <row r="81" ht="12.75">
      <c r="C81" s="601"/>
    </row>
  </sheetData>
  <mergeCells count="13">
    <mergeCell ref="A57:D57"/>
    <mergeCell ref="A44:F44"/>
    <mergeCell ref="A2:F2"/>
    <mergeCell ref="A4:C4"/>
    <mergeCell ref="A8:C8"/>
    <mergeCell ref="E30:F30"/>
    <mergeCell ref="F17:G17"/>
    <mergeCell ref="F18:G18"/>
    <mergeCell ref="F28:G28"/>
    <mergeCell ref="A1:G1"/>
    <mergeCell ref="A38:F38"/>
    <mergeCell ref="A40:F40"/>
    <mergeCell ref="A42:F42"/>
  </mergeCells>
  <printOptions/>
  <pageMargins left="0.61" right="0.23" top="0.38" bottom="0.36" header="0.31" footer="0.26"/>
  <pageSetup fitToHeight="1" fitToWidth="1" horizontalDpi="600" verticalDpi="600" orientation="portrait" paperSize="9" scale="66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5"/>
  <dimension ref="A1:M171"/>
  <sheetViews>
    <sheetView showGridLines="0" workbookViewId="0" topLeftCell="A1">
      <pane ySplit="1" topLeftCell="BM14" activePane="bottomLeft" state="frozen"/>
      <selection pane="topLeft" activeCell="B1" sqref="B1"/>
      <selection pane="bottomLeft" activeCell="F22" sqref="F22"/>
    </sheetView>
  </sheetViews>
  <sheetFormatPr defaultColWidth="11.421875" defaultRowHeight="12.75"/>
  <cols>
    <col min="1" max="1" width="7.57421875" style="3" bestFit="1" customWidth="1"/>
    <col min="2" max="2" width="26.421875" style="0" bestFit="1" customWidth="1"/>
    <col min="3" max="3" width="5.8515625" style="3" bestFit="1" customWidth="1"/>
    <col min="4" max="4" width="10.57421875" style="0" bestFit="1" customWidth="1"/>
    <col min="5" max="5" width="10.8515625" style="0" bestFit="1" customWidth="1"/>
    <col min="6" max="6" width="6.28125" style="3" customWidth="1"/>
    <col min="7" max="7" width="7.140625" style="3" customWidth="1"/>
    <col min="8" max="8" width="7.421875" style="3" customWidth="1"/>
    <col min="9" max="9" width="14.421875" style="0" customWidth="1"/>
    <col min="10" max="10" width="18.00390625" style="0" customWidth="1"/>
    <col min="11" max="11" width="11.421875" style="39" customWidth="1"/>
  </cols>
  <sheetData>
    <row r="1" spans="1:11" s="1" customFormat="1" ht="42" customHeight="1">
      <c r="A1" s="92" t="s">
        <v>0</v>
      </c>
      <c r="B1" s="93" t="s">
        <v>1</v>
      </c>
      <c r="C1" s="94" t="s">
        <v>2</v>
      </c>
      <c r="D1" s="95" t="s">
        <v>370</v>
      </c>
      <c r="E1" s="95" t="s">
        <v>3</v>
      </c>
      <c r="F1" s="94" t="s">
        <v>4</v>
      </c>
      <c r="G1" s="94" t="s">
        <v>5</v>
      </c>
      <c r="H1" s="94" t="s">
        <v>6</v>
      </c>
      <c r="I1" s="96" t="s">
        <v>7</v>
      </c>
      <c r="J1" s="1" t="s">
        <v>371</v>
      </c>
      <c r="K1" s="538"/>
    </row>
    <row r="2" spans="1:11" s="2" customFormat="1" ht="1.5" customHeight="1">
      <c r="A2" s="97"/>
      <c r="B2" s="85"/>
      <c r="C2" s="86"/>
      <c r="D2" s="87"/>
      <c r="E2" s="87"/>
      <c r="F2" s="86"/>
      <c r="G2" s="86"/>
      <c r="H2" s="86"/>
      <c r="I2" s="98"/>
      <c r="K2" s="395"/>
    </row>
    <row r="3" spans="1:13" ht="38.25" customHeight="1">
      <c r="A3" s="99">
        <v>511010</v>
      </c>
      <c r="B3" s="88" t="s">
        <v>268</v>
      </c>
      <c r="C3" s="89">
        <v>12</v>
      </c>
      <c r="D3" s="90">
        <v>25.32</v>
      </c>
      <c r="E3" s="90">
        <v>43.73</v>
      </c>
      <c r="F3" s="91">
        <v>144</v>
      </c>
      <c r="G3" s="91">
        <v>120</v>
      </c>
      <c r="H3" s="91">
        <v>360</v>
      </c>
      <c r="I3" s="100">
        <f aca="true" t="shared" si="0" ref="I3:I35">F3*D3</f>
        <v>3646.08</v>
      </c>
      <c r="K3" s="622">
        <v>144</v>
      </c>
      <c r="L3" s="539"/>
      <c r="M3" s="539"/>
    </row>
    <row r="4" spans="1:13" ht="38.25" customHeight="1">
      <c r="A4" s="99">
        <v>511020</v>
      </c>
      <c r="B4" s="88" t="s">
        <v>323</v>
      </c>
      <c r="C4" s="89">
        <v>10</v>
      </c>
      <c r="D4" s="90">
        <v>20.44</v>
      </c>
      <c r="E4" s="90">
        <v>35.32</v>
      </c>
      <c r="F4" s="91">
        <v>120</v>
      </c>
      <c r="G4" s="91">
        <v>80</v>
      </c>
      <c r="H4" s="91">
        <v>250</v>
      </c>
      <c r="I4" s="100">
        <f t="shared" si="0"/>
        <v>2452.8</v>
      </c>
      <c r="K4" s="622">
        <v>120</v>
      </c>
      <c r="L4" s="539"/>
      <c r="M4" s="539"/>
    </row>
    <row r="5" spans="1:13" ht="38.25" customHeight="1">
      <c r="A5" s="99">
        <v>511030</v>
      </c>
      <c r="B5" s="88" t="s">
        <v>324</v>
      </c>
      <c r="C5" s="89">
        <v>10</v>
      </c>
      <c r="D5" s="90">
        <v>55.72</v>
      </c>
      <c r="E5" s="90">
        <v>96.23</v>
      </c>
      <c r="F5" s="91">
        <v>160</v>
      </c>
      <c r="G5" s="91">
        <v>70</v>
      </c>
      <c r="H5" s="91">
        <v>250</v>
      </c>
      <c r="I5" s="100">
        <f t="shared" si="0"/>
        <v>8915.2</v>
      </c>
      <c r="K5" s="622">
        <v>160</v>
      </c>
      <c r="L5" s="539"/>
      <c r="M5" s="539"/>
    </row>
    <row r="6" spans="1:13" ht="38.25" customHeight="1">
      <c r="A6" s="99">
        <v>512040</v>
      </c>
      <c r="B6" s="88" t="s">
        <v>325</v>
      </c>
      <c r="C6" s="89">
        <v>50</v>
      </c>
      <c r="D6" s="90">
        <v>7.22</v>
      </c>
      <c r="E6" s="90">
        <v>12.46</v>
      </c>
      <c r="F6" s="91">
        <v>450</v>
      </c>
      <c r="G6" s="91">
        <v>100</v>
      </c>
      <c r="H6" s="91">
        <v>1000</v>
      </c>
      <c r="I6" s="100">
        <f t="shared" si="0"/>
        <v>3249</v>
      </c>
      <c r="K6" s="622">
        <v>450</v>
      </c>
      <c r="L6" s="539"/>
      <c r="M6" s="539"/>
    </row>
    <row r="7" spans="1:13" ht="38.25" customHeight="1">
      <c r="A7" s="99">
        <v>512050</v>
      </c>
      <c r="B7" s="88" t="s">
        <v>326</v>
      </c>
      <c r="C7" s="89">
        <v>50</v>
      </c>
      <c r="D7" s="90">
        <v>12.22</v>
      </c>
      <c r="E7" s="90">
        <v>21.11</v>
      </c>
      <c r="F7" s="91">
        <v>98</v>
      </c>
      <c r="G7" s="91">
        <v>100</v>
      </c>
      <c r="H7" s="91">
        <v>750</v>
      </c>
      <c r="I7" s="100">
        <f t="shared" si="0"/>
        <v>1197.5600000000002</v>
      </c>
      <c r="K7" s="622">
        <v>98</v>
      </c>
      <c r="L7" s="539"/>
      <c r="M7" s="539"/>
    </row>
    <row r="8" spans="1:13" ht="38.25" customHeight="1">
      <c r="A8" s="99">
        <v>512060</v>
      </c>
      <c r="B8" s="88" t="s">
        <v>322</v>
      </c>
      <c r="C8" s="89">
        <v>50</v>
      </c>
      <c r="D8" s="90">
        <v>26.94</v>
      </c>
      <c r="E8" s="90">
        <v>46.54</v>
      </c>
      <c r="F8" s="91">
        <v>87</v>
      </c>
      <c r="G8" s="91">
        <v>80</v>
      </c>
      <c r="H8" s="91">
        <v>500</v>
      </c>
      <c r="I8" s="100">
        <f t="shared" si="0"/>
        <v>2343.78</v>
      </c>
      <c r="K8" s="622">
        <v>87</v>
      </c>
      <c r="L8" s="539"/>
      <c r="M8" s="539"/>
    </row>
    <row r="9" spans="1:13" ht="38.25" customHeight="1">
      <c r="A9" s="99">
        <v>512070</v>
      </c>
      <c r="B9" s="88" t="s">
        <v>269</v>
      </c>
      <c r="C9" s="89">
        <v>12</v>
      </c>
      <c r="D9" s="90">
        <v>26.73</v>
      </c>
      <c r="E9" s="90">
        <v>46.17</v>
      </c>
      <c r="F9" s="91">
        <v>75</v>
      </c>
      <c r="G9" s="91">
        <v>40</v>
      </c>
      <c r="H9" s="91">
        <v>500</v>
      </c>
      <c r="I9" s="100">
        <f t="shared" si="0"/>
        <v>2004.75</v>
      </c>
      <c r="K9" s="622">
        <v>75</v>
      </c>
      <c r="L9" s="539"/>
      <c r="M9" s="539"/>
    </row>
    <row r="10" spans="1:13" ht="38.25" customHeight="1">
      <c r="A10" s="99">
        <v>512075</v>
      </c>
      <c r="B10" s="88" t="s">
        <v>327</v>
      </c>
      <c r="C10" s="89">
        <v>10</v>
      </c>
      <c r="D10" s="90">
        <v>65.03</v>
      </c>
      <c r="E10" s="90">
        <v>112.33</v>
      </c>
      <c r="F10" s="91">
        <v>0</v>
      </c>
      <c r="G10" s="91">
        <v>60</v>
      </c>
      <c r="H10" s="91">
        <v>600</v>
      </c>
      <c r="I10" s="100">
        <f t="shared" si="0"/>
        <v>0</v>
      </c>
      <c r="K10" s="622">
        <v>0</v>
      </c>
      <c r="L10" s="539"/>
      <c r="M10" s="539"/>
    </row>
    <row r="11" spans="1:13" ht="38.25" customHeight="1">
      <c r="A11" s="99">
        <v>512080</v>
      </c>
      <c r="B11" s="88" t="s">
        <v>328</v>
      </c>
      <c r="C11" s="89">
        <v>100</v>
      </c>
      <c r="D11" s="90">
        <v>13.33</v>
      </c>
      <c r="E11" s="90">
        <v>23.03</v>
      </c>
      <c r="F11" s="91">
        <v>1235</v>
      </c>
      <c r="G11" s="91">
        <v>100</v>
      </c>
      <c r="H11" s="91">
        <v>1500</v>
      </c>
      <c r="I11" s="100">
        <f t="shared" si="0"/>
        <v>16462.55</v>
      </c>
      <c r="K11" s="622">
        <v>1235</v>
      </c>
      <c r="L11" s="539"/>
      <c r="M11" s="539"/>
    </row>
    <row r="12" spans="1:13" ht="38.25" customHeight="1">
      <c r="A12" s="99">
        <v>513090</v>
      </c>
      <c r="B12" s="88" t="s">
        <v>329</v>
      </c>
      <c r="C12" s="89">
        <v>144</v>
      </c>
      <c r="D12" s="90">
        <v>72.8</v>
      </c>
      <c r="E12" s="90">
        <v>125.76</v>
      </c>
      <c r="F12" s="91">
        <v>25</v>
      </c>
      <c r="G12" s="91">
        <v>15</v>
      </c>
      <c r="H12" s="91">
        <v>150</v>
      </c>
      <c r="I12" s="100">
        <f t="shared" si="0"/>
        <v>1820</v>
      </c>
      <c r="K12" s="622">
        <v>25</v>
      </c>
      <c r="L12" s="539"/>
      <c r="M12" s="539"/>
    </row>
    <row r="13" spans="1:13" ht="38.25" customHeight="1">
      <c r="A13" s="99">
        <v>514100</v>
      </c>
      <c r="B13" s="88" t="s">
        <v>330</v>
      </c>
      <c r="C13" s="89">
        <v>60</v>
      </c>
      <c r="D13" s="90">
        <v>40</v>
      </c>
      <c r="E13" s="90">
        <v>69.1</v>
      </c>
      <c r="F13" s="91">
        <v>30</v>
      </c>
      <c r="G13" s="91">
        <v>20</v>
      </c>
      <c r="H13" s="91">
        <v>400</v>
      </c>
      <c r="I13" s="100">
        <f t="shared" si="0"/>
        <v>1200</v>
      </c>
      <c r="K13" s="622">
        <v>30</v>
      </c>
      <c r="L13" s="539"/>
      <c r="M13" s="539"/>
    </row>
    <row r="14" spans="1:13" ht="38.25" customHeight="1">
      <c r="A14" s="99">
        <v>515110</v>
      </c>
      <c r="B14" s="88" t="s">
        <v>331</v>
      </c>
      <c r="C14" s="89">
        <v>60</v>
      </c>
      <c r="D14" s="90">
        <v>17.67</v>
      </c>
      <c r="E14" s="90">
        <v>30.52</v>
      </c>
      <c r="F14" s="91">
        <v>64</v>
      </c>
      <c r="G14" s="91">
        <v>45</v>
      </c>
      <c r="H14" s="91">
        <v>420</v>
      </c>
      <c r="I14" s="100">
        <f t="shared" si="0"/>
        <v>1130.88</v>
      </c>
      <c r="K14" s="622">
        <v>64</v>
      </c>
      <c r="L14" s="539"/>
      <c r="M14" s="539"/>
    </row>
    <row r="15" spans="1:13" ht="38.25" customHeight="1">
      <c r="A15" s="99">
        <v>521120</v>
      </c>
      <c r="B15" s="88" t="s">
        <v>332</v>
      </c>
      <c r="C15" s="89">
        <v>100</v>
      </c>
      <c r="D15" s="90">
        <v>62.61</v>
      </c>
      <c r="E15" s="90">
        <v>111.71</v>
      </c>
      <c r="F15" s="91">
        <v>200</v>
      </c>
      <c r="G15" s="91">
        <v>50</v>
      </c>
      <c r="H15" s="91">
        <v>400</v>
      </c>
      <c r="I15" s="100">
        <f t="shared" si="0"/>
        <v>12522</v>
      </c>
      <c r="K15" s="622">
        <v>200</v>
      </c>
      <c r="L15" s="539"/>
      <c r="M15" s="539"/>
    </row>
    <row r="16" spans="1:13" ht="38.25" customHeight="1">
      <c r="A16" s="99">
        <v>522130</v>
      </c>
      <c r="B16" s="88" t="s">
        <v>333</v>
      </c>
      <c r="C16" s="89">
        <v>50</v>
      </c>
      <c r="D16" s="90">
        <v>22.5</v>
      </c>
      <c r="E16" s="90">
        <v>40.15</v>
      </c>
      <c r="F16" s="91">
        <v>250</v>
      </c>
      <c r="G16" s="91">
        <v>75</v>
      </c>
      <c r="H16" s="91">
        <v>500</v>
      </c>
      <c r="I16" s="100">
        <f t="shared" si="0"/>
        <v>5625</v>
      </c>
      <c r="K16" s="622">
        <v>250</v>
      </c>
      <c r="L16" s="539"/>
      <c r="M16" s="539"/>
    </row>
    <row r="17" spans="1:13" ht="38.25" customHeight="1">
      <c r="A17" s="99">
        <v>522140</v>
      </c>
      <c r="B17" s="88" t="s">
        <v>334</v>
      </c>
      <c r="C17" s="89">
        <v>50</v>
      </c>
      <c r="D17" s="90">
        <v>13.61</v>
      </c>
      <c r="E17" s="90">
        <v>24.29</v>
      </c>
      <c r="F17" s="91">
        <v>250</v>
      </c>
      <c r="G17" s="91">
        <v>100</v>
      </c>
      <c r="H17" s="91">
        <v>600</v>
      </c>
      <c r="I17" s="100">
        <f t="shared" si="0"/>
        <v>3402.5</v>
      </c>
      <c r="K17" s="622">
        <v>250</v>
      </c>
      <c r="L17" s="539"/>
      <c r="M17" s="539"/>
    </row>
    <row r="18" spans="1:13" ht="38.25" customHeight="1">
      <c r="A18" s="99">
        <v>523150</v>
      </c>
      <c r="B18" s="88" t="s">
        <v>255</v>
      </c>
      <c r="C18" s="89">
        <v>10</v>
      </c>
      <c r="D18" s="90">
        <v>71.11</v>
      </c>
      <c r="E18" s="90">
        <v>126.88</v>
      </c>
      <c r="F18" s="91">
        <v>70</v>
      </c>
      <c r="G18" s="91">
        <v>30</v>
      </c>
      <c r="H18" s="91">
        <v>300</v>
      </c>
      <c r="I18" s="100">
        <f t="shared" si="0"/>
        <v>4977.7</v>
      </c>
      <c r="K18" s="622">
        <v>70</v>
      </c>
      <c r="L18" s="539"/>
      <c r="M18" s="539"/>
    </row>
    <row r="19" spans="1:13" ht="38.25" customHeight="1">
      <c r="A19" s="99">
        <v>531160</v>
      </c>
      <c r="B19" s="88" t="s">
        <v>270</v>
      </c>
      <c r="C19" s="89">
        <v>10</v>
      </c>
      <c r="D19" s="90">
        <v>11.44</v>
      </c>
      <c r="E19" s="90">
        <v>20.21</v>
      </c>
      <c r="F19" s="91">
        <v>210</v>
      </c>
      <c r="G19" s="91">
        <v>50</v>
      </c>
      <c r="H19" s="91">
        <v>500</v>
      </c>
      <c r="I19" s="100">
        <f t="shared" si="0"/>
        <v>2402.4</v>
      </c>
      <c r="K19" s="622">
        <v>210</v>
      </c>
      <c r="L19" s="539"/>
      <c r="M19" s="539"/>
    </row>
    <row r="20" spans="1:13" ht="38.25" customHeight="1">
      <c r="A20" s="99">
        <v>531170</v>
      </c>
      <c r="B20" s="88" t="s">
        <v>271</v>
      </c>
      <c r="C20" s="89">
        <v>10</v>
      </c>
      <c r="D20" s="90">
        <v>11.44</v>
      </c>
      <c r="E20" s="90">
        <v>20.21</v>
      </c>
      <c r="F20" s="91">
        <v>130</v>
      </c>
      <c r="G20" s="91">
        <v>50</v>
      </c>
      <c r="H20" s="91">
        <v>500</v>
      </c>
      <c r="I20" s="100">
        <f t="shared" si="0"/>
        <v>1487.2</v>
      </c>
      <c r="K20" s="622">
        <v>130</v>
      </c>
      <c r="L20" s="539"/>
      <c r="M20" s="539"/>
    </row>
    <row r="21" spans="1:13" ht="38.25" customHeight="1">
      <c r="A21" s="99">
        <v>532180</v>
      </c>
      <c r="B21" s="88" t="s">
        <v>335</v>
      </c>
      <c r="C21" s="89">
        <v>20</v>
      </c>
      <c r="D21" s="90">
        <v>3.33</v>
      </c>
      <c r="E21" s="90">
        <v>5.88</v>
      </c>
      <c r="F21" s="91">
        <v>600</v>
      </c>
      <c r="G21" s="91">
        <v>100</v>
      </c>
      <c r="H21" s="91">
        <v>600</v>
      </c>
      <c r="I21" s="100">
        <f t="shared" si="0"/>
        <v>1998</v>
      </c>
      <c r="K21" s="622">
        <v>600</v>
      </c>
      <c r="L21" s="539"/>
      <c r="M21" s="539"/>
    </row>
    <row r="22" spans="1:13" ht="38.25" customHeight="1">
      <c r="A22" s="99">
        <v>533190</v>
      </c>
      <c r="B22" s="88" t="s">
        <v>272</v>
      </c>
      <c r="C22" s="89">
        <v>20</v>
      </c>
      <c r="D22" s="90">
        <v>72</v>
      </c>
      <c r="E22" s="90">
        <v>127.08</v>
      </c>
      <c r="F22" s="91">
        <v>160</v>
      </c>
      <c r="G22" s="91">
        <v>80</v>
      </c>
      <c r="H22" s="91">
        <v>500</v>
      </c>
      <c r="I22" s="100">
        <f t="shared" si="0"/>
        <v>11520</v>
      </c>
      <c r="K22" s="622">
        <v>160</v>
      </c>
      <c r="L22" s="539"/>
      <c r="M22" s="539"/>
    </row>
    <row r="23" spans="1:13" ht="38.25" customHeight="1">
      <c r="A23" s="99">
        <v>533200</v>
      </c>
      <c r="B23" s="88" t="s">
        <v>273</v>
      </c>
      <c r="C23" s="89">
        <v>20</v>
      </c>
      <c r="D23" s="90">
        <v>67.33</v>
      </c>
      <c r="E23" s="90">
        <v>118.84</v>
      </c>
      <c r="F23" s="91">
        <v>120</v>
      </c>
      <c r="G23" s="91">
        <v>80</v>
      </c>
      <c r="H23" s="91">
        <v>500</v>
      </c>
      <c r="I23" s="100">
        <f t="shared" si="0"/>
        <v>8079.599999999999</v>
      </c>
      <c r="K23" s="622">
        <v>120</v>
      </c>
      <c r="L23" s="539"/>
      <c r="M23" s="539"/>
    </row>
    <row r="24" spans="1:13" ht="38.25" customHeight="1">
      <c r="A24" s="99">
        <v>541210</v>
      </c>
      <c r="B24" s="88" t="s">
        <v>256</v>
      </c>
      <c r="C24" s="89">
        <v>20</v>
      </c>
      <c r="D24" s="90">
        <v>15.33</v>
      </c>
      <c r="E24" s="90">
        <v>28.3</v>
      </c>
      <c r="F24" s="91">
        <v>28</v>
      </c>
      <c r="G24" s="91">
        <v>10</v>
      </c>
      <c r="H24" s="91">
        <v>75</v>
      </c>
      <c r="I24" s="100">
        <f t="shared" si="0"/>
        <v>429.24</v>
      </c>
      <c r="K24" s="622">
        <v>28</v>
      </c>
      <c r="L24" s="539"/>
      <c r="M24" s="539"/>
    </row>
    <row r="25" spans="1:13" ht="38.25" customHeight="1">
      <c r="A25" s="99">
        <v>541220</v>
      </c>
      <c r="B25" s="88" t="s">
        <v>257</v>
      </c>
      <c r="C25" s="89">
        <v>10</v>
      </c>
      <c r="D25" s="90">
        <v>19.28</v>
      </c>
      <c r="E25" s="90">
        <v>35.58</v>
      </c>
      <c r="F25" s="91">
        <v>182</v>
      </c>
      <c r="G25" s="91">
        <v>50</v>
      </c>
      <c r="H25" s="91">
        <v>250</v>
      </c>
      <c r="I25" s="100">
        <f t="shared" si="0"/>
        <v>3508.96</v>
      </c>
      <c r="K25" s="622">
        <v>182</v>
      </c>
      <c r="L25" s="539"/>
      <c r="M25" s="539"/>
    </row>
    <row r="26" spans="1:13" ht="38.25" customHeight="1">
      <c r="A26" s="99">
        <v>542230</v>
      </c>
      <c r="B26" s="88" t="s">
        <v>258</v>
      </c>
      <c r="C26" s="89">
        <v>12</v>
      </c>
      <c r="D26" s="90">
        <v>90.53</v>
      </c>
      <c r="E26" s="90">
        <v>167.05</v>
      </c>
      <c r="F26" s="91">
        <v>50</v>
      </c>
      <c r="G26" s="91">
        <v>30</v>
      </c>
      <c r="H26" s="91">
        <v>100</v>
      </c>
      <c r="I26" s="100">
        <f t="shared" si="0"/>
        <v>4526.5</v>
      </c>
      <c r="K26" s="622">
        <v>50</v>
      </c>
      <c r="L26" s="539"/>
      <c r="M26" s="539"/>
    </row>
    <row r="27" spans="1:13" ht="38.25" customHeight="1">
      <c r="A27" s="99">
        <v>542240</v>
      </c>
      <c r="B27" s="88" t="s">
        <v>259</v>
      </c>
      <c r="C27" s="89">
        <v>12</v>
      </c>
      <c r="D27" s="90">
        <v>29.47</v>
      </c>
      <c r="E27" s="90">
        <v>54.38</v>
      </c>
      <c r="F27" s="91">
        <v>72</v>
      </c>
      <c r="G27" s="91">
        <v>40</v>
      </c>
      <c r="H27" s="91">
        <v>150</v>
      </c>
      <c r="I27" s="100">
        <f t="shared" si="0"/>
        <v>2121.84</v>
      </c>
      <c r="K27" s="622">
        <v>72</v>
      </c>
      <c r="L27" s="539"/>
      <c r="M27" s="539"/>
    </row>
    <row r="28" spans="1:13" ht="38.25" customHeight="1">
      <c r="A28" s="99">
        <v>542250</v>
      </c>
      <c r="B28" s="88" t="s">
        <v>260</v>
      </c>
      <c r="C28" s="89">
        <v>100</v>
      </c>
      <c r="D28" s="90">
        <v>15.56</v>
      </c>
      <c r="E28" s="90">
        <v>28.7</v>
      </c>
      <c r="F28" s="91">
        <v>226</v>
      </c>
      <c r="G28" s="91">
        <v>100</v>
      </c>
      <c r="H28" s="91">
        <v>500</v>
      </c>
      <c r="I28" s="100">
        <f t="shared" si="0"/>
        <v>3516.56</v>
      </c>
      <c r="K28" s="622">
        <v>226</v>
      </c>
      <c r="L28" s="539"/>
      <c r="M28" s="539"/>
    </row>
    <row r="29" spans="1:13" ht="38.25" customHeight="1">
      <c r="A29" s="99">
        <v>542255</v>
      </c>
      <c r="B29" s="88" t="s">
        <v>261</v>
      </c>
      <c r="C29" s="89">
        <v>200</v>
      </c>
      <c r="D29" s="90">
        <v>129.25</v>
      </c>
      <c r="E29" s="90">
        <v>238.5</v>
      </c>
      <c r="F29" s="91">
        <v>0</v>
      </c>
      <c r="G29" s="91">
        <v>10</v>
      </c>
      <c r="H29" s="91">
        <v>36</v>
      </c>
      <c r="I29" s="100">
        <f t="shared" si="0"/>
        <v>0</v>
      </c>
      <c r="K29" s="622">
        <v>0</v>
      </c>
      <c r="L29" s="539"/>
      <c r="M29" s="539"/>
    </row>
    <row r="30" spans="1:13" ht="38.25" customHeight="1">
      <c r="A30" s="99">
        <v>543260</v>
      </c>
      <c r="B30" s="88" t="s">
        <v>262</v>
      </c>
      <c r="C30" s="89">
        <v>12</v>
      </c>
      <c r="D30" s="90">
        <v>20</v>
      </c>
      <c r="E30" s="90">
        <v>36.91</v>
      </c>
      <c r="F30" s="91">
        <v>100</v>
      </c>
      <c r="G30" s="91">
        <v>50</v>
      </c>
      <c r="H30" s="91">
        <v>200</v>
      </c>
      <c r="I30" s="100">
        <f t="shared" si="0"/>
        <v>2000</v>
      </c>
      <c r="K30" s="622">
        <v>100</v>
      </c>
      <c r="L30" s="539"/>
      <c r="M30" s="539"/>
    </row>
    <row r="31" spans="1:13" ht="38.25" customHeight="1">
      <c r="A31" s="99">
        <v>543270</v>
      </c>
      <c r="B31" s="88" t="s">
        <v>263</v>
      </c>
      <c r="C31" s="89">
        <v>10</v>
      </c>
      <c r="D31" s="90">
        <v>116</v>
      </c>
      <c r="E31" s="90">
        <v>214.03</v>
      </c>
      <c r="F31" s="91">
        <v>67</v>
      </c>
      <c r="G31" s="91">
        <v>40</v>
      </c>
      <c r="H31" s="91">
        <v>150</v>
      </c>
      <c r="I31" s="100">
        <f t="shared" si="0"/>
        <v>7772</v>
      </c>
      <c r="K31" s="622">
        <v>67</v>
      </c>
      <c r="L31" s="539"/>
      <c r="M31" s="539"/>
    </row>
    <row r="32" spans="1:13" ht="38.25" customHeight="1">
      <c r="A32" s="99">
        <v>551280</v>
      </c>
      <c r="B32" s="88" t="s">
        <v>264</v>
      </c>
      <c r="C32" s="89">
        <v>50</v>
      </c>
      <c r="D32" s="90">
        <v>40.56</v>
      </c>
      <c r="E32" s="90">
        <v>76.57</v>
      </c>
      <c r="F32" s="91">
        <v>44</v>
      </c>
      <c r="G32" s="91">
        <v>20</v>
      </c>
      <c r="H32" s="91">
        <v>100</v>
      </c>
      <c r="I32" s="100">
        <f t="shared" si="0"/>
        <v>1784.64</v>
      </c>
      <c r="K32" s="622">
        <v>44</v>
      </c>
      <c r="L32" s="539"/>
      <c r="M32" s="539"/>
    </row>
    <row r="33" spans="1:13" ht="38.25" customHeight="1">
      <c r="A33" s="99">
        <v>551290</v>
      </c>
      <c r="B33" s="88" t="s">
        <v>265</v>
      </c>
      <c r="C33" s="89">
        <v>50</v>
      </c>
      <c r="D33" s="90">
        <v>63.61</v>
      </c>
      <c r="E33" s="90">
        <v>120.1</v>
      </c>
      <c r="F33" s="91">
        <v>45</v>
      </c>
      <c r="G33" s="91">
        <v>20</v>
      </c>
      <c r="H33" s="91">
        <v>100</v>
      </c>
      <c r="I33" s="100">
        <f t="shared" si="0"/>
        <v>2862.45</v>
      </c>
      <c r="K33" s="622">
        <v>45</v>
      </c>
      <c r="L33" s="539"/>
      <c r="M33" s="539"/>
    </row>
    <row r="34" spans="1:13" ht="38.25" customHeight="1">
      <c r="A34" s="99">
        <v>552300</v>
      </c>
      <c r="B34" s="88" t="s">
        <v>266</v>
      </c>
      <c r="C34" s="89">
        <v>12</v>
      </c>
      <c r="D34" s="90">
        <v>66.07</v>
      </c>
      <c r="E34" s="90">
        <v>124.72</v>
      </c>
      <c r="F34" s="91">
        <v>31</v>
      </c>
      <c r="G34" s="91">
        <v>15</v>
      </c>
      <c r="H34" s="91">
        <v>85</v>
      </c>
      <c r="I34" s="100">
        <f t="shared" si="0"/>
        <v>2048.1699999999996</v>
      </c>
      <c r="K34" s="622">
        <v>31</v>
      </c>
      <c r="L34" s="539"/>
      <c r="M34" s="539"/>
    </row>
    <row r="35" spans="1:13" ht="38.25" customHeight="1">
      <c r="A35" s="99">
        <v>552310</v>
      </c>
      <c r="B35" s="88" t="s">
        <v>267</v>
      </c>
      <c r="C35" s="89">
        <v>12</v>
      </c>
      <c r="D35" s="90">
        <v>101.47</v>
      </c>
      <c r="E35" s="90">
        <v>191.57</v>
      </c>
      <c r="F35" s="91">
        <v>28</v>
      </c>
      <c r="G35" s="91">
        <v>15</v>
      </c>
      <c r="H35" s="91">
        <v>85</v>
      </c>
      <c r="I35" s="100">
        <f t="shared" si="0"/>
        <v>2841.16</v>
      </c>
      <c r="K35" s="622">
        <v>28</v>
      </c>
      <c r="L35" s="539"/>
      <c r="M35" s="539"/>
    </row>
    <row r="36" spans="1:9" ht="2.25" customHeight="1">
      <c r="A36" s="97"/>
      <c r="B36" s="108"/>
      <c r="C36" s="109"/>
      <c r="D36" s="110"/>
      <c r="E36" s="111"/>
      <c r="F36" s="112"/>
      <c r="G36" s="113"/>
      <c r="H36" s="113"/>
      <c r="I36" s="114"/>
    </row>
    <row r="37" spans="1:9" ht="13.5" thickBot="1">
      <c r="A37" s="101"/>
      <c r="B37" s="102"/>
      <c r="C37" s="103"/>
      <c r="D37" s="104"/>
      <c r="E37" s="104"/>
      <c r="F37" s="105"/>
      <c r="G37" s="106"/>
      <c r="H37" s="106"/>
      <c r="I37" s="107">
        <f>SUM(I3:I35)</f>
        <v>129848.52</v>
      </c>
    </row>
    <row r="38" spans="2:6" ht="12.75">
      <c r="B38" s="5"/>
      <c r="C38" s="4"/>
      <c r="E38" s="6"/>
      <c r="F38" s="7"/>
    </row>
    <row r="39" spans="2:6" ht="13.5" thickBot="1">
      <c r="B39" s="5"/>
      <c r="C39" s="4"/>
      <c r="E39" s="6"/>
      <c r="F39" s="7"/>
    </row>
    <row r="40" spans="1:6" ht="16.5" customHeight="1">
      <c r="A40" s="79" t="s">
        <v>195</v>
      </c>
      <c r="B40" s="80"/>
      <c r="C40" s="78"/>
      <c r="E40" s="6"/>
      <c r="F40" s="7"/>
    </row>
    <row r="41" spans="1:6" ht="12.75">
      <c r="A41" s="81" t="s">
        <v>196</v>
      </c>
      <c r="B41" s="82">
        <v>0.06</v>
      </c>
      <c r="C41" s="77"/>
      <c r="E41" s="6"/>
      <c r="F41" s="7"/>
    </row>
    <row r="42" spans="1:6" ht="12.75">
      <c r="A42" s="81" t="s">
        <v>197</v>
      </c>
      <c r="B42" s="82">
        <v>0.09</v>
      </c>
      <c r="C42" s="77"/>
      <c r="E42" s="6"/>
      <c r="F42" s="7"/>
    </row>
    <row r="43" spans="1:6" ht="12.75">
      <c r="A43" s="81" t="s">
        <v>198</v>
      </c>
      <c r="B43" s="82">
        <v>0.08</v>
      </c>
      <c r="C43" s="77"/>
      <c r="E43" s="6"/>
      <c r="F43" s="7"/>
    </row>
    <row r="44" spans="1:6" ht="12.75">
      <c r="A44" s="81" t="s">
        <v>199</v>
      </c>
      <c r="B44" s="82">
        <v>0.12</v>
      </c>
      <c r="C44" s="77"/>
      <c r="E44" s="6"/>
      <c r="F44" s="7"/>
    </row>
    <row r="45" spans="1:6" ht="13.5" thickBot="1">
      <c r="A45" s="83" t="s">
        <v>200</v>
      </c>
      <c r="B45" s="84">
        <v>0.14</v>
      </c>
      <c r="C45" s="77"/>
      <c r="E45" s="6"/>
      <c r="F45" s="7"/>
    </row>
    <row r="46" spans="5:6" ht="12.75">
      <c r="E46" s="6"/>
      <c r="F46" s="7"/>
    </row>
    <row r="47" spans="5:6" ht="12.75">
      <c r="E47" s="6"/>
      <c r="F47" s="7"/>
    </row>
    <row r="48" spans="5:6" ht="12.75">
      <c r="E48" s="6"/>
      <c r="F48" s="7"/>
    </row>
    <row r="49" spans="5:6" ht="12.75">
      <c r="E49" s="6"/>
      <c r="F49" s="7"/>
    </row>
    <row r="50" spans="5:6" ht="12.75">
      <c r="E50" s="6"/>
      <c r="F50" s="7"/>
    </row>
    <row r="51" spans="5:6" ht="12.75">
      <c r="E51" s="6"/>
      <c r="F51" s="7"/>
    </row>
    <row r="52" spans="5:6" ht="12.75">
      <c r="E52" s="6"/>
      <c r="F52" s="7"/>
    </row>
    <row r="53" spans="5:6" ht="12.75">
      <c r="E53" s="6"/>
      <c r="F53" s="7"/>
    </row>
    <row r="54" spans="5:6" ht="12.75">
      <c r="E54" s="6"/>
      <c r="F54" s="7"/>
    </row>
    <row r="55" spans="5:6" ht="12.75">
      <c r="E55" s="6"/>
      <c r="F55" s="7"/>
    </row>
    <row r="56" spans="5:6" ht="12.75">
      <c r="E56" s="6"/>
      <c r="F56" s="7"/>
    </row>
    <row r="57" spans="5:6" ht="12.75">
      <c r="E57" s="6"/>
      <c r="F57" s="7"/>
    </row>
    <row r="58" spans="5:6" ht="12.75">
      <c r="E58" s="6"/>
      <c r="F58" s="7"/>
    </row>
    <row r="59" spans="5:6" ht="12.75">
      <c r="E59" s="6"/>
      <c r="F59" s="7"/>
    </row>
    <row r="60" spans="5:6" ht="12.75">
      <c r="E60" s="6"/>
      <c r="F60" s="7"/>
    </row>
    <row r="61" spans="5:6" ht="12.75">
      <c r="E61" s="6"/>
      <c r="F61" s="7"/>
    </row>
    <row r="62" spans="5:6" ht="12.75">
      <c r="E62" s="6"/>
      <c r="F62" s="7"/>
    </row>
    <row r="63" spans="5:6" ht="12.75">
      <c r="E63" s="6"/>
      <c r="F63" s="7"/>
    </row>
    <row r="64" spans="5:6" ht="12.75">
      <c r="E64" s="6"/>
      <c r="F64" s="7"/>
    </row>
    <row r="65" spans="5:6" ht="12.75">
      <c r="E65" s="6"/>
      <c r="F65" s="7"/>
    </row>
    <row r="66" spans="5:6" ht="12.75">
      <c r="E66" s="6"/>
      <c r="F66" s="7"/>
    </row>
    <row r="67" spans="5:6" ht="12.75">
      <c r="E67" s="6"/>
      <c r="F67" s="7"/>
    </row>
    <row r="68" spans="5:6" ht="12.75">
      <c r="E68" s="6"/>
      <c r="F68" s="7"/>
    </row>
    <row r="69" spans="5:6" ht="12.75">
      <c r="E69" s="6"/>
      <c r="F69" s="7"/>
    </row>
    <row r="70" spans="5:6" ht="12.75">
      <c r="E70" s="6"/>
      <c r="F70" s="7"/>
    </row>
    <row r="71" spans="5:6" ht="12.75">
      <c r="E71" s="6"/>
      <c r="F71" s="7"/>
    </row>
    <row r="72" spans="5:6" ht="12.75">
      <c r="E72" s="6"/>
      <c r="F72" s="7"/>
    </row>
    <row r="73" spans="5:6" ht="12.75">
      <c r="E73" s="6"/>
      <c r="F73" s="7"/>
    </row>
    <row r="74" spans="5:6" ht="12.75">
      <c r="E74" s="6"/>
      <c r="F74" s="7"/>
    </row>
    <row r="75" spans="5:6" ht="12.75">
      <c r="E75" s="6"/>
      <c r="F75" s="7"/>
    </row>
    <row r="76" spans="5:6" ht="12.75">
      <c r="E76" s="6"/>
      <c r="F76" s="7"/>
    </row>
    <row r="77" spans="5:6" ht="12.75">
      <c r="E77" s="6"/>
      <c r="F77" s="7"/>
    </row>
    <row r="78" spans="5:6" ht="12.75">
      <c r="E78" s="6"/>
      <c r="F78" s="7"/>
    </row>
    <row r="79" spans="5:6" ht="12.75">
      <c r="E79" s="6"/>
      <c r="F79" s="7"/>
    </row>
    <row r="80" spans="5:6" ht="12.75">
      <c r="E80" s="6"/>
      <c r="F80" s="7"/>
    </row>
    <row r="81" spans="5:6" ht="12.75">
      <c r="E81" s="6"/>
      <c r="F81" s="7"/>
    </row>
    <row r="82" spans="5:6" ht="12.75">
      <c r="E82" s="6"/>
      <c r="F82" s="7"/>
    </row>
    <row r="83" spans="5:6" ht="12.75">
      <c r="E83" s="6"/>
      <c r="F83" s="7"/>
    </row>
    <row r="84" spans="5:6" ht="12.75">
      <c r="E84" s="6"/>
      <c r="F84" s="7"/>
    </row>
    <row r="85" spans="5:6" ht="12.75">
      <c r="E85" s="6"/>
      <c r="F85" s="7"/>
    </row>
    <row r="86" spans="5:6" ht="12.75">
      <c r="E86" s="6"/>
      <c r="F86" s="7"/>
    </row>
    <row r="87" spans="5:6" ht="12.75">
      <c r="E87" s="6"/>
      <c r="F87" s="7"/>
    </row>
    <row r="88" spans="5:6" ht="12.75">
      <c r="E88" s="6"/>
      <c r="F88" s="7"/>
    </row>
    <row r="89" spans="5:6" ht="12.75">
      <c r="E89" s="6"/>
      <c r="F89" s="7"/>
    </row>
    <row r="90" spans="5:6" ht="12.75">
      <c r="E90" s="6"/>
      <c r="F90" s="7"/>
    </row>
    <row r="91" spans="5:6" ht="12.75">
      <c r="E91" s="6"/>
      <c r="F91" s="7"/>
    </row>
    <row r="92" spans="5:6" ht="12.75">
      <c r="E92" s="6"/>
      <c r="F92" s="7"/>
    </row>
    <row r="93" spans="5:6" ht="12.75">
      <c r="E93" s="6"/>
      <c r="F93" s="7"/>
    </row>
    <row r="94" spans="5:6" ht="12.75">
      <c r="E94" s="6"/>
      <c r="F94" s="7"/>
    </row>
    <row r="95" spans="5:6" ht="12.75">
      <c r="E95" s="6"/>
      <c r="F95" s="7"/>
    </row>
    <row r="96" spans="5:6" ht="12.75">
      <c r="E96" s="6"/>
      <c r="F96" s="7"/>
    </row>
    <row r="97" spans="5:6" ht="12.75">
      <c r="E97" s="6"/>
      <c r="F97" s="7"/>
    </row>
    <row r="98" spans="5:6" ht="12.75">
      <c r="E98" s="6"/>
      <c r="F98" s="7"/>
    </row>
    <row r="99" spans="5:6" ht="12.75">
      <c r="E99" s="6"/>
      <c r="F99" s="7"/>
    </row>
    <row r="100" spans="5:6" ht="12.75">
      <c r="E100" s="6"/>
      <c r="F100" s="7"/>
    </row>
    <row r="101" spans="5:6" ht="12.75">
      <c r="E101" s="6"/>
      <c r="F101" s="7"/>
    </row>
    <row r="102" spans="5:6" ht="12.75">
      <c r="E102" s="6"/>
      <c r="F102" s="7"/>
    </row>
    <row r="103" spans="5:6" ht="12.75">
      <c r="E103" s="6"/>
      <c r="F103" s="7"/>
    </row>
    <row r="104" spans="5:6" ht="12.75">
      <c r="E104" s="6"/>
      <c r="F104" s="7"/>
    </row>
    <row r="105" spans="5:6" ht="12.75">
      <c r="E105" s="6"/>
      <c r="F105" s="7"/>
    </row>
    <row r="106" spans="5:6" ht="12.75">
      <c r="E106" s="6"/>
      <c r="F106" s="7"/>
    </row>
    <row r="107" spans="5:6" ht="12.75">
      <c r="E107" s="6"/>
      <c r="F107" s="7"/>
    </row>
    <row r="108" spans="5:6" ht="12.75">
      <c r="E108" s="6"/>
      <c r="F108" s="7"/>
    </row>
    <row r="109" spans="5:6" ht="12.75">
      <c r="E109" s="6"/>
      <c r="F109" s="7"/>
    </row>
    <row r="110" spans="5:6" ht="12.75">
      <c r="E110" s="6"/>
      <c r="F110" s="7"/>
    </row>
    <row r="111" spans="5:6" ht="12.75">
      <c r="E111" s="6"/>
      <c r="F111" s="7"/>
    </row>
    <row r="112" spans="5:6" ht="12.75">
      <c r="E112" s="6"/>
      <c r="F112" s="7"/>
    </row>
    <row r="113" spans="5:6" ht="12.75">
      <c r="E113" s="6"/>
      <c r="F113" s="7"/>
    </row>
    <row r="114" spans="5:6" ht="12.75">
      <c r="E114" s="6"/>
      <c r="F114" s="7"/>
    </row>
    <row r="115" spans="5:6" ht="12.75">
      <c r="E115" s="6"/>
      <c r="F115" s="7"/>
    </row>
    <row r="116" spans="5:6" ht="12.75">
      <c r="E116" s="6"/>
      <c r="F116" s="7"/>
    </row>
    <row r="117" spans="5:6" ht="12.75">
      <c r="E117" s="6"/>
      <c r="F117" s="7"/>
    </row>
    <row r="118" spans="5:6" ht="12.75">
      <c r="E118" s="6"/>
      <c r="F118" s="7"/>
    </row>
    <row r="119" spans="5:6" ht="12.75">
      <c r="E119" s="6"/>
      <c r="F119" s="7"/>
    </row>
    <row r="120" spans="5:6" ht="12.75">
      <c r="E120" s="6"/>
      <c r="F120" s="7"/>
    </row>
    <row r="121" spans="5:6" ht="12.75">
      <c r="E121" s="6"/>
      <c r="F121" s="7"/>
    </row>
    <row r="122" spans="5:6" ht="12.75">
      <c r="E122" s="6"/>
      <c r="F122" s="7"/>
    </row>
    <row r="123" spans="5:6" ht="12.75">
      <c r="E123" s="6"/>
      <c r="F123" s="7"/>
    </row>
    <row r="124" spans="5:6" ht="12.75">
      <c r="E124" s="6"/>
      <c r="F124" s="7"/>
    </row>
    <row r="125" spans="5:6" ht="12.75">
      <c r="E125" s="6"/>
      <c r="F125" s="7"/>
    </row>
    <row r="126" spans="5:6" ht="12.75">
      <c r="E126" s="6"/>
      <c r="F126" s="7"/>
    </row>
    <row r="127" spans="5:6" ht="12.75">
      <c r="E127" s="6"/>
      <c r="F127" s="7"/>
    </row>
    <row r="128" spans="5:6" ht="12.75">
      <c r="E128" s="6"/>
      <c r="F128" s="7"/>
    </row>
    <row r="129" spans="5:6" ht="12.75">
      <c r="E129" s="6"/>
      <c r="F129" s="7"/>
    </row>
    <row r="130" spans="5:6" ht="12.75">
      <c r="E130" s="6"/>
      <c r="F130" s="7"/>
    </row>
    <row r="131" spans="5:6" ht="12.75">
      <c r="E131" s="6"/>
      <c r="F131" s="7"/>
    </row>
    <row r="132" spans="5:6" ht="12.75">
      <c r="E132" s="6"/>
      <c r="F132" s="7"/>
    </row>
    <row r="133" spans="5:6" ht="12.75">
      <c r="E133" s="6"/>
      <c r="F133" s="7"/>
    </row>
    <row r="134" spans="5:6" ht="12.75">
      <c r="E134" s="6"/>
      <c r="F134" s="7"/>
    </row>
    <row r="135" spans="5:6" ht="12.75">
      <c r="E135" s="6"/>
      <c r="F135" s="7"/>
    </row>
    <row r="136" spans="5:6" ht="12.75">
      <c r="E136" s="6"/>
      <c r="F136" s="7"/>
    </row>
    <row r="137" spans="5:6" ht="12.75">
      <c r="E137" s="6"/>
      <c r="F137" s="7"/>
    </row>
    <row r="138" spans="5:6" ht="12.75">
      <c r="E138" s="6"/>
      <c r="F138" s="7"/>
    </row>
    <row r="139" spans="5:6" ht="12.75">
      <c r="E139" s="6"/>
      <c r="F139" s="7"/>
    </row>
    <row r="140" spans="5:6" ht="12.75">
      <c r="E140" s="6"/>
      <c r="F140" s="7"/>
    </row>
    <row r="141" spans="5:6" ht="12.75">
      <c r="E141" s="6"/>
      <c r="F141" s="7"/>
    </row>
    <row r="142" spans="5:6" ht="12.75">
      <c r="E142" s="6"/>
      <c r="F142" s="7"/>
    </row>
    <row r="143" spans="5:6" ht="12.75">
      <c r="E143" s="6"/>
      <c r="F143" s="7"/>
    </row>
    <row r="144" spans="5:6" ht="12.75">
      <c r="E144" s="6"/>
      <c r="F144" s="7"/>
    </row>
    <row r="145" spans="5:6" ht="12.75">
      <c r="E145" s="6"/>
      <c r="F145" s="7"/>
    </row>
    <row r="146" spans="5:6" ht="12.75">
      <c r="E146" s="6"/>
      <c r="F146" s="7"/>
    </row>
    <row r="147" spans="5:6" ht="12.75">
      <c r="E147" s="6"/>
      <c r="F147" s="7"/>
    </row>
    <row r="148" spans="5:6" ht="12.75">
      <c r="E148" s="6"/>
      <c r="F148" s="7"/>
    </row>
    <row r="149" spans="5:6" ht="12.75">
      <c r="E149" s="6"/>
      <c r="F149" s="7"/>
    </row>
    <row r="150" spans="5:6" ht="12.75">
      <c r="E150" s="6"/>
      <c r="F150" s="7"/>
    </row>
    <row r="151" spans="5:6" ht="12.75">
      <c r="E151" s="6"/>
      <c r="F151" s="7"/>
    </row>
    <row r="152" spans="5:6" ht="12.75">
      <c r="E152" s="6"/>
      <c r="F152" s="7"/>
    </row>
    <row r="153" spans="5:6" ht="12.75">
      <c r="E153" s="6"/>
      <c r="F153" s="7"/>
    </row>
    <row r="154" spans="5:6" ht="12.75">
      <c r="E154" s="6"/>
      <c r="F154" s="7"/>
    </row>
    <row r="155" spans="5:6" ht="12.75">
      <c r="E155" s="6"/>
      <c r="F155" s="7"/>
    </row>
    <row r="156" spans="5:6" ht="12.75">
      <c r="E156" s="6"/>
      <c r="F156" s="7"/>
    </row>
    <row r="157" spans="5:6" ht="12.75">
      <c r="E157" s="6"/>
      <c r="F157" s="7"/>
    </row>
    <row r="158" spans="5:6" ht="12.75">
      <c r="E158" s="6"/>
      <c r="F158" s="7"/>
    </row>
    <row r="159" spans="5:6" ht="12.75">
      <c r="E159" s="6"/>
      <c r="F159" s="7"/>
    </row>
    <row r="160" spans="5:6" ht="12.75">
      <c r="E160" s="6"/>
      <c r="F160" s="7"/>
    </row>
    <row r="161" spans="5:6" ht="12.75">
      <c r="E161" s="6"/>
      <c r="F161" s="7"/>
    </row>
    <row r="162" spans="5:6" ht="12.75">
      <c r="E162" s="6"/>
      <c r="F162" s="7"/>
    </row>
    <row r="163" spans="5:6" ht="12.75">
      <c r="E163" s="6"/>
      <c r="F163" s="7"/>
    </row>
    <row r="164" spans="5:6" ht="12.75">
      <c r="E164" s="6"/>
      <c r="F164" s="7"/>
    </row>
    <row r="165" spans="5:6" ht="12.75">
      <c r="E165" s="6"/>
      <c r="F165" s="7"/>
    </row>
    <row r="166" spans="5:6" ht="12.75">
      <c r="E166" s="6"/>
      <c r="F166" s="7"/>
    </row>
    <row r="167" spans="5:6" ht="12.75">
      <c r="E167" s="6"/>
      <c r="F167" s="7"/>
    </row>
    <row r="168" spans="5:6" ht="12.75">
      <c r="E168" s="6"/>
      <c r="F168" s="7"/>
    </row>
    <row r="169" spans="5:6" ht="12.75">
      <c r="E169" s="6"/>
      <c r="F169" s="7"/>
    </row>
    <row r="170" spans="5:6" ht="12.75">
      <c r="E170" s="6"/>
      <c r="F170" s="7"/>
    </row>
    <row r="171" spans="5:6" ht="12.75">
      <c r="E171" s="6"/>
      <c r="F171" s="7"/>
    </row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6"/>
  <dimension ref="A1:M232"/>
  <sheetViews>
    <sheetView workbookViewId="0" topLeftCell="A1">
      <selection activeCell="H20" sqref="H20"/>
    </sheetView>
  </sheetViews>
  <sheetFormatPr defaultColWidth="11.421875" defaultRowHeight="12.75"/>
  <cols>
    <col min="2" max="2" width="21.140625" style="0" customWidth="1"/>
    <col min="3" max="3" width="23.8515625" style="0" bestFit="1" customWidth="1"/>
    <col min="4" max="4" width="17.421875" style="0" customWidth="1"/>
    <col min="5" max="5" width="18.421875" style="0" customWidth="1"/>
    <col min="6" max="6" width="19.00390625" style="0" customWidth="1"/>
    <col min="7" max="7" width="27.140625" style="0" customWidth="1"/>
    <col min="8" max="8" width="16.421875" style="0" customWidth="1"/>
    <col min="9" max="9" width="10.28125" style="0" bestFit="1" customWidth="1"/>
    <col min="11" max="11" width="15.57421875" style="0" bestFit="1" customWidth="1"/>
  </cols>
  <sheetData>
    <row r="1" ht="18.75">
      <c r="A1" s="48" t="s">
        <v>89</v>
      </c>
    </row>
    <row r="2" ht="13.5" thickBot="1"/>
    <row r="3" spans="1:11" ht="12.75">
      <c r="A3" s="72" t="s">
        <v>84</v>
      </c>
      <c r="B3" s="73" t="s">
        <v>9</v>
      </c>
      <c r="C3" s="73" t="s">
        <v>139</v>
      </c>
      <c r="D3" s="74" t="s">
        <v>10</v>
      </c>
      <c r="E3" s="74" t="s">
        <v>140</v>
      </c>
      <c r="F3" s="74" t="s">
        <v>12</v>
      </c>
      <c r="G3" s="74" t="s">
        <v>90</v>
      </c>
      <c r="H3" s="74" t="s">
        <v>141</v>
      </c>
      <c r="I3" s="74" t="s">
        <v>142</v>
      </c>
      <c r="J3" s="542" t="s">
        <v>337</v>
      </c>
      <c r="K3" s="543" t="s">
        <v>372</v>
      </c>
    </row>
    <row r="4" spans="1:11" ht="12.75">
      <c r="A4" s="354">
        <v>21001</v>
      </c>
      <c r="B4" s="70" t="s">
        <v>91</v>
      </c>
      <c r="C4" s="70" t="s">
        <v>93</v>
      </c>
      <c r="D4" s="70" t="s">
        <v>94</v>
      </c>
      <c r="E4" s="70" t="s">
        <v>95</v>
      </c>
      <c r="F4" s="70" t="s">
        <v>184</v>
      </c>
      <c r="G4" s="70" t="s">
        <v>92</v>
      </c>
      <c r="H4" s="70" t="s">
        <v>173</v>
      </c>
      <c r="I4" s="70" t="s">
        <v>163</v>
      </c>
      <c r="J4" s="541">
        <v>0.03</v>
      </c>
      <c r="K4" s="572">
        <v>2</v>
      </c>
    </row>
    <row r="5" spans="1:11" ht="13.5" customHeight="1">
      <c r="A5" s="354">
        <v>21002</v>
      </c>
      <c r="B5" s="70" t="s">
        <v>96</v>
      </c>
      <c r="C5" s="70" t="s">
        <v>98</v>
      </c>
      <c r="D5" s="70" t="s">
        <v>99</v>
      </c>
      <c r="E5" s="70" t="s">
        <v>100</v>
      </c>
      <c r="F5" s="70" t="s">
        <v>191</v>
      </c>
      <c r="G5" s="70" t="s">
        <v>97</v>
      </c>
      <c r="H5" s="70" t="s">
        <v>174</v>
      </c>
      <c r="I5" s="70" t="s">
        <v>164</v>
      </c>
      <c r="J5" s="541">
        <v>0.025</v>
      </c>
      <c r="K5" s="572">
        <v>3</v>
      </c>
    </row>
    <row r="6" spans="1:11" ht="12.75">
      <c r="A6" s="354">
        <v>22003</v>
      </c>
      <c r="B6" s="70" t="s">
        <v>101</v>
      </c>
      <c r="C6" s="71"/>
      <c r="D6" s="70" t="s">
        <v>103</v>
      </c>
      <c r="E6" s="70" t="s">
        <v>104</v>
      </c>
      <c r="F6" s="70" t="s">
        <v>185</v>
      </c>
      <c r="G6" s="70" t="s">
        <v>102</v>
      </c>
      <c r="H6" s="70" t="s">
        <v>175</v>
      </c>
      <c r="I6" s="70" t="s">
        <v>165</v>
      </c>
      <c r="J6" s="541">
        <v>0.025</v>
      </c>
      <c r="K6" s="572">
        <v>4</v>
      </c>
    </row>
    <row r="7" spans="1:11" ht="12.75">
      <c r="A7" s="354">
        <v>22004</v>
      </c>
      <c r="B7" s="70" t="s">
        <v>85</v>
      </c>
      <c r="C7" s="70" t="s">
        <v>106</v>
      </c>
      <c r="D7" s="70" t="s">
        <v>107</v>
      </c>
      <c r="E7" s="70" t="s">
        <v>108</v>
      </c>
      <c r="F7" s="70" t="s">
        <v>186</v>
      </c>
      <c r="G7" s="70" t="s">
        <v>105</v>
      </c>
      <c r="H7" s="70" t="s">
        <v>176</v>
      </c>
      <c r="I7" s="70" t="s">
        <v>166</v>
      </c>
      <c r="J7" s="541">
        <v>0.03</v>
      </c>
      <c r="K7" s="572">
        <v>5</v>
      </c>
    </row>
    <row r="8" spans="1:11" ht="12.75">
      <c r="A8" s="354">
        <v>23005</v>
      </c>
      <c r="B8" s="70" t="s">
        <v>86</v>
      </c>
      <c r="C8" s="70" t="s">
        <v>110</v>
      </c>
      <c r="D8" s="70" t="s">
        <v>111</v>
      </c>
      <c r="E8" s="70" t="s">
        <v>112</v>
      </c>
      <c r="F8" s="70" t="s">
        <v>187</v>
      </c>
      <c r="G8" s="70" t="s">
        <v>109</v>
      </c>
      <c r="H8" s="70" t="s">
        <v>177</v>
      </c>
      <c r="I8" s="70" t="s">
        <v>167</v>
      </c>
      <c r="J8" s="541">
        <v>0.025</v>
      </c>
      <c r="K8" s="572">
        <v>6</v>
      </c>
    </row>
    <row r="9" spans="1:11" ht="12.75">
      <c r="A9" s="354">
        <v>23006</v>
      </c>
      <c r="B9" s="70" t="s">
        <v>87</v>
      </c>
      <c r="C9" s="70" t="s">
        <v>114</v>
      </c>
      <c r="D9" s="70" t="s">
        <v>115</v>
      </c>
      <c r="E9" s="70" t="s">
        <v>116</v>
      </c>
      <c r="F9" s="70" t="s">
        <v>192</v>
      </c>
      <c r="G9" s="70" t="s">
        <v>113</v>
      </c>
      <c r="H9" s="70" t="s">
        <v>178</v>
      </c>
      <c r="I9" s="70" t="s">
        <v>168</v>
      </c>
      <c r="J9" s="541">
        <v>0.03</v>
      </c>
      <c r="K9" s="572">
        <v>7</v>
      </c>
    </row>
    <row r="10" spans="1:11" ht="13.5" customHeight="1">
      <c r="A10" s="354">
        <v>24007</v>
      </c>
      <c r="B10" s="70" t="s">
        <v>88</v>
      </c>
      <c r="C10" s="70" t="s">
        <v>118</v>
      </c>
      <c r="D10" s="70" t="s">
        <v>119</v>
      </c>
      <c r="E10" s="70" t="s">
        <v>120</v>
      </c>
      <c r="F10" s="70" t="s">
        <v>193</v>
      </c>
      <c r="G10" s="70" t="s">
        <v>117</v>
      </c>
      <c r="H10" s="70" t="s">
        <v>179</v>
      </c>
      <c r="I10" s="70" t="s">
        <v>169</v>
      </c>
      <c r="J10" s="541">
        <v>0.03</v>
      </c>
      <c r="K10" s="572">
        <v>8</v>
      </c>
    </row>
    <row r="11" spans="1:11" ht="12.75">
      <c r="A11" s="354">
        <v>24008</v>
      </c>
      <c r="B11" s="70" t="s">
        <v>121</v>
      </c>
      <c r="C11" s="70" t="s">
        <v>122</v>
      </c>
      <c r="D11" s="70" t="s">
        <v>123</v>
      </c>
      <c r="E11" s="70" t="s">
        <v>124</v>
      </c>
      <c r="F11" s="70" t="s">
        <v>194</v>
      </c>
      <c r="G11" s="70" t="s">
        <v>102</v>
      </c>
      <c r="H11" s="70" t="s">
        <v>180</v>
      </c>
      <c r="I11" s="70" t="s">
        <v>165</v>
      </c>
      <c r="J11" s="541">
        <v>0.03</v>
      </c>
      <c r="K11" s="572">
        <v>9</v>
      </c>
    </row>
    <row r="12" spans="1:11" ht="12.75">
      <c r="A12" s="354">
        <v>25009</v>
      </c>
      <c r="B12" s="70" t="s">
        <v>125</v>
      </c>
      <c r="C12" s="71"/>
      <c r="D12" s="70" t="s">
        <v>127</v>
      </c>
      <c r="E12" s="70" t="s">
        <v>128</v>
      </c>
      <c r="F12" s="70" t="s">
        <v>188</v>
      </c>
      <c r="G12" s="70" t="s">
        <v>126</v>
      </c>
      <c r="H12" s="70" t="s">
        <v>183</v>
      </c>
      <c r="I12" s="70" t="s">
        <v>170</v>
      </c>
      <c r="J12" s="541">
        <v>0.03</v>
      </c>
      <c r="K12" s="572">
        <v>10</v>
      </c>
    </row>
    <row r="13" spans="1:11" ht="15" customHeight="1">
      <c r="A13" s="354">
        <v>25010</v>
      </c>
      <c r="B13" s="70" t="s">
        <v>129</v>
      </c>
      <c r="C13" s="70" t="s">
        <v>131</v>
      </c>
      <c r="D13" s="70" t="s">
        <v>132</v>
      </c>
      <c r="E13" s="70" t="s">
        <v>133</v>
      </c>
      <c r="F13" s="70" t="s">
        <v>189</v>
      </c>
      <c r="G13" s="70" t="s">
        <v>130</v>
      </c>
      <c r="H13" s="70" t="s">
        <v>181</v>
      </c>
      <c r="I13" s="70" t="s">
        <v>171</v>
      </c>
      <c r="J13" s="541">
        <v>0.025</v>
      </c>
      <c r="K13" s="572">
        <v>11</v>
      </c>
    </row>
    <row r="14" spans="1:11" ht="13.5" thickBot="1">
      <c r="A14" s="355">
        <v>26011</v>
      </c>
      <c r="B14" s="75" t="s">
        <v>134</v>
      </c>
      <c r="C14" s="75" t="s">
        <v>136</v>
      </c>
      <c r="D14" s="75" t="s">
        <v>137</v>
      </c>
      <c r="E14" s="75" t="s">
        <v>138</v>
      </c>
      <c r="F14" s="75" t="s">
        <v>190</v>
      </c>
      <c r="G14" s="75" t="s">
        <v>135</v>
      </c>
      <c r="H14" s="75" t="s">
        <v>182</v>
      </c>
      <c r="I14" s="75" t="s">
        <v>172</v>
      </c>
      <c r="J14" s="544">
        <v>0.02</v>
      </c>
      <c r="K14" s="573">
        <v>12</v>
      </c>
    </row>
    <row r="16" ht="13.5" thickBot="1"/>
    <row r="17" spans="1:4" ht="16.5" thickBot="1">
      <c r="A17" s="761" t="s">
        <v>245</v>
      </c>
      <c r="B17" s="762"/>
      <c r="C17" s="762"/>
      <c r="D17" s="763"/>
    </row>
    <row r="18" ht="13.5" thickBot="1">
      <c r="F18" s="230"/>
    </row>
    <row r="19" spans="1:6" ht="13.5" thickBot="1">
      <c r="A19" s="226" t="s">
        <v>254</v>
      </c>
      <c r="B19" s="217" t="s">
        <v>250</v>
      </c>
      <c r="C19" s="218" t="s">
        <v>251</v>
      </c>
      <c r="D19" s="218" t="s">
        <v>252</v>
      </c>
      <c r="E19" s="219" t="s">
        <v>253</v>
      </c>
      <c r="F19" s="231"/>
    </row>
    <row r="20" spans="1:5" ht="12.75">
      <c r="A20" s="227">
        <v>1</v>
      </c>
      <c r="B20" s="224">
        <v>511010</v>
      </c>
      <c r="C20" s="220">
        <v>21001</v>
      </c>
      <c r="D20" s="220">
        <v>21002</v>
      </c>
      <c r="E20" s="221">
        <v>26011</v>
      </c>
    </row>
    <row r="21" spans="1:5" ht="12.75">
      <c r="A21" s="228">
        <v>2</v>
      </c>
      <c r="B21" s="224">
        <v>511020</v>
      </c>
      <c r="C21" s="220">
        <v>21001</v>
      </c>
      <c r="D21" s="220">
        <v>21002</v>
      </c>
      <c r="E21" s="221">
        <v>26011</v>
      </c>
    </row>
    <row r="22" spans="1:5" ht="12.75">
      <c r="A22" s="228">
        <v>3</v>
      </c>
      <c r="B22" s="224">
        <v>511030</v>
      </c>
      <c r="C22" s="220">
        <v>21001</v>
      </c>
      <c r="D22" s="220">
        <v>21002</v>
      </c>
      <c r="E22" s="221">
        <v>26011</v>
      </c>
    </row>
    <row r="23" spans="1:5" ht="12.75">
      <c r="A23" s="228">
        <v>4</v>
      </c>
      <c r="B23" s="224">
        <v>512040</v>
      </c>
      <c r="C23" s="220">
        <v>21001</v>
      </c>
      <c r="D23" s="220">
        <v>21002</v>
      </c>
      <c r="E23" s="221">
        <v>26011</v>
      </c>
    </row>
    <row r="24" spans="1:5" ht="12.75">
      <c r="A24" s="228">
        <v>5</v>
      </c>
      <c r="B24" s="224">
        <v>512050</v>
      </c>
      <c r="C24" s="220">
        <v>21001</v>
      </c>
      <c r="D24" s="220">
        <v>21002</v>
      </c>
      <c r="E24" s="221">
        <v>26011</v>
      </c>
    </row>
    <row r="25" spans="1:5" ht="12.75">
      <c r="A25" s="228">
        <v>6</v>
      </c>
      <c r="B25" s="224">
        <v>512060</v>
      </c>
      <c r="C25" s="220">
        <v>21001</v>
      </c>
      <c r="D25" s="220">
        <v>21002</v>
      </c>
      <c r="E25" s="221">
        <v>26011</v>
      </c>
    </row>
    <row r="26" spans="1:5" ht="12.75">
      <c r="A26" s="228">
        <v>7</v>
      </c>
      <c r="B26" s="224">
        <v>512065</v>
      </c>
      <c r="C26" s="220">
        <v>21012</v>
      </c>
      <c r="D26" s="220"/>
      <c r="E26" s="221"/>
    </row>
    <row r="27" spans="1:5" ht="12.75">
      <c r="A27" s="228">
        <v>8</v>
      </c>
      <c r="B27" s="224">
        <v>512070</v>
      </c>
      <c r="C27" s="220">
        <v>21001</v>
      </c>
      <c r="D27" s="220">
        <v>21002</v>
      </c>
      <c r="E27" s="221">
        <v>26011</v>
      </c>
    </row>
    <row r="28" spans="1:5" ht="12.75">
      <c r="A28" s="228">
        <v>9</v>
      </c>
      <c r="B28" s="224">
        <v>512075</v>
      </c>
      <c r="C28" s="220">
        <v>21001</v>
      </c>
      <c r="D28" s="220">
        <v>21002</v>
      </c>
      <c r="E28" s="221">
        <v>26011</v>
      </c>
    </row>
    <row r="29" spans="1:5" ht="12.75">
      <c r="A29" s="228">
        <v>10</v>
      </c>
      <c r="B29" s="224">
        <v>512080</v>
      </c>
      <c r="C29" s="220">
        <v>21001</v>
      </c>
      <c r="D29" s="220">
        <v>21002</v>
      </c>
      <c r="E29" s="221">
        <v>26011</v>
      </c>
    </row>
    <row r="30" spans="1:5" ht="12.75">
      <c r="A30" s="228">
        <v>11</v>
      </c>
      <c r="B30" s="224">
        <v>513090</v>
      </c>
      <c r="C30" s="220">
        <v>21001</v>
      </c>
      <c r="D30" s="220">
        <v>21002</v>
      </c>
      <c r="E30" s="221">
        <v>26011</v>
      </c>
    </row>
    <row r="31" spans="1:5" ht="12.75">
      <c r="A31" s="228">
        <v>12</v>
      </c>
      <c r="B31" s="224">
        <v>514100</v>
      </c>
      <c r="C31" s="220">
        <v>21001</v>
      </c>
      <c r="D31" s="220">
        <v>21002</v>
      </c>
      <c r="E31" s="221">
        <v>26011</v>
      </c>
    </row>
    <row r="32" spans="1:5" ht="12.75">
      <c r="A32" s="228">
        <v>13</v>
      </c>
      <c r="B32" s="224">
        <v>515110</v>
      </c>
      <c r="C32" s="220">
        <v>21001</v>
      </c>
      <c r="D32" s="220">
        <v>21002</v>
      </c>
      <c r="E32" s="221">
        <v>26011</v>
      </c>
    </row>
    <row r="33" spans="1:5" ht="12.75">
      <c r="A33" s="228">
        <v>14</v>
      </c>
      <c r="B33" s="224">
        <v>521120</v>
      </c>
      <c r="C33" s="220">
        <v>22003</v>
      </c>
      <c r="D33" s="220">
        <v>22004</v>
      </c>
      <c r="E33" s="221">
        <v>26011</v>
      </c>
    </row>
    <row r="34" spans="1:5" ht="12.75">
      <c r="A34" s="228">
        <v>15</v>
      </c>
      <c r="B34" s="224">
        <v>522130</v>
      </c>
      <c r="C34" s="220">
        <v>22003</v>
      </c>
      <c r="D34" s="220">
        <v>22004</v>
      </c>
      <c r="E34" s="221">
        <v>26011</v>
      </c>
    </row>
    <row r="35" spans="1:5" ht="12.75">
      <c r="A35" s="228">
        <v>16</v>
      </c>
      <c r="B35" s="224">
        <v>522140</v>
      </c>
      <c r="C35" s="220">
        <v>22003</v>
      </c>
      <c r="D35" s="220">
        <v>22004</v>
      </c>
      <c r="E35" s="221">
        <v>26011</v>
      </c>
    </row>
    <row r="36" spans="1:5" ht="12.75">
      <c r="A36" s="228">
        <v>17</v>
      </c>
      <c r="B36" s="224">
        <v>523150</v>
      </c>
      <c r="C36" s="220">
        <v>22003</v>
      </c>
      <c r="D36" s="220">
        <v>22004</v>
      </c>
      <c r="E36" s="221">
        <v>26011</v>
      </c>
    </row>
    <row r="37" spans="1:5" ht="12.75">
      <c r="A37" s="228">
        <v>18</v>
      </c>
      <c r="B37" s="224">
        <v>531160</v>
      </c>
      <c r="C37" s="220">
        <v>23005</v>
      </c>
      <c r="D37" s="220">
        <v>23006</v>
      </c>
      <c r="E37" s="221">
        <v>26011</v>
      </c>
    </row>
    <row r="38" spans="1:5" ht="12.75">
      <c r="A38" s="228">
        <v>19</v>
      </c>
      <c r="B38" s="224">
        <v>531170</v>
      </c>
      <c r="C38" s="220">
        <v>23005</v>
      </c>
      <c r="D38" s="220">
        <v>23006</v>
      </c>
      <c r="E38" s="221">
        <v>26011</v>
      </c>
    </row>
    <row r="39" spans="1:5" ht="12.75">
      <c r="A39" s="228">
        <v>20</v>
      </c>
      <c r="B39" s="224">
        <v>532180</v>
      </c>
      <c r="C39" s="220">
        <v>23005</v>
      </c>
      <c r="D39" s="220">
        <v>23006</v>
      </c>
      <c r="E39" s="221">
        <v>26011</v>
      </c>
    </row>
    <row r="40" spans="1:5" ht="12.75">
      <c r="A40" s="228">
        <v>21</v>
      </c>
      <c r="B40" s="224">
        <v>533190</v>
      </c>
      <c r="C40" s="220">
        <v>23005</v>
      </c>
      <c r="D40" s="220">
        <v>23006</v>
      </c>
      <c r="E40" s="221">
        <v>26011</v>
      </c>
    </row>
    <row r="41" spans="1:5" ht="12.75">
      <c r="A41" s="228">
        <v>22</v>
      </c>
      <c r="B41" s="224">
        <v>533200</v>
      </c>
      <c r="C41" s="220">
        <v>23005</v>
      </c>
      <c r="D41" s="220">
        <v>23006</v>
      </c>
      <c r="E41" s="221">
        <v>26011</v>
      </c>
    </row>
    <row r="42" spans="1:5" ht="12.75">
      <c r="A42" s="228">
        <v>23</v>
      </c>
      <c r="B42" s="224">
        <v>541210</v>
      </c>
      <c r="C42" s="220">
        <v>24007</v>
      </c>
      <c r="D42" s="220">
        <v>24008</v>
      </c>
      <c r="E42" s="221">
        <v>26011</v>
      </c>
    </row>
    <row r="43" spans="1:5" ht="12.75">
      <c r="A43" s="228">
        <v>24</v>
      </c>
      <c r="B43" s="224">
        <v>541220</v>
      </c>
      <c r="C43" s="220">
        <v>24007</v>
      </c>
      <c r="D43" s="220">
        <v>24008</v>
      </c>
      <c r="E43" s="221">
        <v>26011</v>
      </c>
    </row>
    <row r="44" spans="1:5" ht="12.75">
      <c r="A44" s="228">
        <v>25</v>
      </c>
      <c r="B44" s="224">
        <v>542230</v>
      </c>
      <c r="C44" s="220">
        <v>24007</v>
      </c>
      <c r="D44" s="220">
        <v>24008</v>
      </c>
      <c r="E44" s="221">
        <v>26011</v>
      </c>
    </row>
    <row r="45" spans="1:5" ht="12.75">
      <c r="A45" s="228">
        <v>26</v>
      </c>
      <c r="B45" s="224">
        <v>542240</v>
      </c>
      <c r="C45" s="220">
        <v>24007</v>
      </c>
      <c r="D45" s="220">
        <v>24008</v>
      </c>
      <c r="E45" s="221">
        <v>26011</v>
      </c>
    </row>
    <row r="46" spans="1:5" ht="12.75">
      <c r="A46" s="228">
        <v>27</v>
      </c>
      <c r="B46" s="224">
        <v>542250</v>
      </c>
      <c r="C46" s="220">
        <v>24007</v>
      </c>
      <c r="D46" s="220">
        <v>24008</v>
      </c>
      <c r="E46" s="221">
        <v>26011</v>
      </c>
    </row>
    <row r="47" spans="1:5" ht="12.75">
      <c r="A47" s="228">
        <v>28</v>
      </c>
      <c r="B47" s="224">
        <v>542255</v>
      </c>
      <c r="C47" s="220">
        <v>24007</v>
      </c>
      <c r="D47" s="220">
        <v>24008</v>
      </c>
      <c r="E47" s="221">
        <v>26011</v>
      </c>
    </row>
    <row r="48" spans="1:5" ht="12.75">
      <c r="A48" s="228">
        <v>29</v>
      </c>
      <c r="B48" s="224">
        <v>543260</v>
      </c>
      <c r="C48" s="220">
        <v>24007</v>
      </c>
      <c r="D48" s="220">
        <v>24008</v>
      </c>
      <c r="E48" s="221">
        <v>26011</v>
      </c>
    </row>
    <row r="49" spans="1:5" ht="12.75">
      <c r="A49" s="228">
        <v>30</v>
      </c>
      <c r="B49" s="224">
        <v>543270</v>
      </c>
      <c r="C49" s="220">
        <v>24007</v>
      </c>
      <c r="D49" s="220">
        <v>24008</v>
      </c>
      <c r="E49" s="221">
        <v>26011</v>
      </c>
    </row>
    <row r="50" spans="1:5" ht="12.75">
      <c r="A50" s="228">
        <v>31</v>
      </c>
      <c r="B50" s="224">
        <v>551280</v>
      </c>
      <c r="C50" s="220">
        <v>25009</v>
      </c>
      <c r="D50" s="220">
        <v>25010</v>
      </c>
      <c r="E50" s="221">
        <v>26011</v>
      </c>
    </row>
    <row r="51" spans="1:5" ht="12.75">
      <c r="A51" s="228">
        <v>32</v>
      </c>
      <c r="B51" s="224">
        <v>551290</v>
      </c>
      <c r="C51" s="220">
        <v>25009</v>
      </c>
      <c r="D51" s="220">
        <v>25010</v>
      </c>
      <c r="E51" s="221">
        <v>26011</v>
      </c>
    </row>
    <row r="52" spans="1:5" ht="12.75">
      <c r="A52" s="228">
        <v>33</v>
      </c>
      <c r="B52" s="224">
        <v>552300</v>
      </c>
      <c r="C52" s="220">
        <v>25009</v>
      </c>
      <c r="D52" s="220">
        <v>25010</v>
      </c>
      <c r="E52" s="221">
        <v>26011</v>
      </c>
    </row>
    <row r="53" spans="1:5" ht="13.5" thickBot="1">
      <c r="A53" s="229">
        <v>34</v>
      </c>
      <c r="B53" s="225">
        <v>552310</v>
      </c>
      <c r="C53" s="222">
        <v>25009</v>
      </c>
      <c r="D53" s="222">
        <v>25010</v>
      </c>
      <c r="E53" s="223">
        <v>26011</v>
      </c>
    </row>
    <row r="58" spans="1:13" ht="15.75">
      <c r="A58" s="201" t="s">
        <v>246</v>
      </c>
      <c r="B58" s="202">
        <v>21001</v>
      </c>
      <c r="C58" s="202">
        <v>21002</v>
      </c>
      <c r="D58" s="202">
        <v>22003</v>
      </c>
      <c r="E58" s="202">
        <v>22004</v>
      </c>
      <c r="F58" s="202">
        <v>23005</v>
      </c>
      <c r="G58" s="202">
        <v>23006</v>
      </c>
      <c r="H58" s="202">
        <v>24007</v>
      </c>
      <c r="I58" s="202">
        <v>24008</v>
      </c>
      <c r="J58" s="202">
        <v>25009</v>
      </c>
      <c r="K58" s="202">
        <v>25010</v>
      </c>
      <c r="L58" s="202">
        <v>26011</v>
      </c>
      <c r="M58" s="202">
        <v>21012</v>
      </c>
    </row>
    <row r="59" spans="1:13" ht="12.75">
      <c r="A59" s="203">
        <v>511010</v>
      </c>
      <c r="B59" s="193">
        <v>150</v>
      </c>
      <c r="C59" s="193">
        <v>29</v>
      </c>
      <c r="D59" s="193"/>
      <c r="E59" s="193"/>
      <c r="F59" s="193"/>
      <c r="G59" s="193"/>
      <c r="H59" s="193"/>
      <c r="I59" s="193"/>
      <c r="J59" s="193"/>
      <c r="K59" s="193"/>
      <c r="L59" s="193">
        <v>31.33</v>
      </c>
      <c r="M59" s="193"/>
    </row>
    <row r="60" spans="1:13" ht="12.75">
      <c r="A60" s="203">
        <v>511020</v>
      </c>
      <c r="B60" s="193">
        <v>122.33</v>
      </c>
      <c r="C60" s="193">
        <v>59.99</v>
      </c>
      <c r="D60" s="193"/>
      <c r="E60" s="193"/>
      <c r="F60" s="193"/>
      <c r="G60" s="193"/>
      <c r="H60" s="193"/>
      <c r="I60" s="193"/>
      <c r="J60" s="193"/>
      <c r="K60" s="193"/>
      <c r="L60" s="193">
        <v>24.44</v>
      </c>
      <c r="M60" s="193"/>
    </row>
    <row r="61" spans="1:13" ht="12.75">
      <c r="A61" s="203">
        <v>511030</v>
      </c>
      <c r="B61" s="193">
        <v>381.5</v>
      </c>
      <c r="C61" s="193">
        <v>331.99</v>
      </c>
      <c r="D61" s="193"/>
      <c r="E61" s="193"/>
      <c r="F61" s="193"/>
      <c r="G61" s="193"/>
      <c r="H61" s="193"/>
      <c r="I61" s="193"/>
      <c r="J61" s="193"/>
      <c r="K61" s="193"/>
      <c r="L61" s="193">
        <v>65.07</v>
      </c>
      <c r="M61" s="193"/>
    </row>
    <row r="62" spans="1:13" ht="12.75">
      <c r="A62" s="203">
        <v>512040</v>
      </c>
      <c r="B62" s="193">
        <v>24.66</v>
      </c>
      <c r="C62" s="193">
        <v>7.74</v>
      </c>
      <c r="D62" s="193"/>
      <c r="E62" s="193"/>
      <c r="F62" s="193"/>
      <c r="G62" s="193"/>
      <c r="H62" s="193"/>
      <c r="I62" s="193"/>
      <c r="J62" s="193"/>
      <c r="K62" s="193"/>
      <c r="L62" s="193">
        <v>49.3</v>
      </c>
      <c r="M62" s="193"/>
    </row>
    <row r="63" spans="1:13" ht="12.75">
      <c r="A63" s="203">
        <v>512050</v>
      </c>
      <c r="B63" s="193">
        <v>59.95</v>
      </c>
      <c r="C63" s="193">
        <v>14.1</v>
      </c>
      <c r="D63" s="193"/>
      <c r="E63" s="193"/>
      <c r="F63" s="193"/>
      <c r="G63" s="193"/>
      <c r="H63" s="193"/>
      <c r="I63" s="193"/>
      <c r="J63" s="193"/>
      <c r="K63" s="193"/>
      <c r="L63" s="193">
        <v>15.99</v>
      </c>
      <c r="M63" s="193"/>
    </row>
    <row r="64" spans="1:13" ht="12.75">
      <c r="A64" s="203">
        <v>512060</v>
      </c>
      <c r="B64" s="193">
        <v>123.55</v>
      </c>
      <c r="C64" s="193">
        <v>29.24</v>
      </c>
      <c r="D64" s="193"/>
      <c r="E64" s="193"/>
      <c r="F64" s="193"/>
      <c r="G64" s="193"/>
      <c r="H64" s="193"/>
      <c r="I64" s="193"/>
      <c r="J64" s="193"/>
      <c r="K64" s="193"/>
      <c r="L64" s="193">
        <v>29.55</v>
      </c>
      <c r="M64" s="193"/>
    </row>
    <row r="65" spans="1:13" ht="12.75">
      <c r="A65" s="203">
        <v>512065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>
        <v>55.95</v>
      </c>
    </row>
    <row r="66" spans="1:13" ht="12.75">
      <c r="A66" s="203">
        <v>512070</v>
      </c>
      <c r="B66" s="193">
        <v>31.75</v>
      </c>
      <c r="C66" s="193">
        <v>169</v>
      </c>
      <c r="D66" s="193"/>
      <c r="E66" s="193"/>
      <c r="F66" s="193"/>
      <c r="G66" s="193"/>
      <c r="H66" s="193"/>
      <c r="I66" s="193"/>
      <c r="J66" s="193"/>
      <c r="K66" s="193"/>
      <c r="L66" s="193">
        <v>349.55</v>
      </c>
      <c r="M66" s="193"/>
    </row>
    <row r="67" spans="1:13" ht="12.75">
      <c r="A67" s="203">
        <v>512075</v>
      </c>
      <c r="B67" s="193">
        <v>75.5</v>
      </c>
      <c r="C67" s="193">
        <v>79.9</v>
      </c>
      <c r="D67" s="193"/>
      <c r="E67" s="193"/>
      <c r="F67" s="193"/>
      <c r="G67" s="193"/>
      <c r="H67" s="193"/>
      <c r="I67" s="193"/>
      <c r="J67" s="193"/>
      <c r="K67" s="193"/>
      <c r="L67" s="193">
        <v>399</v>
      </c>
      <c r="M67" s="193"/>
    </row>
    <row r="68" spans="1:13" ht="12.75">
      <c r="A68" s="203">
        <v>512080</v>
      </c>
      <c r="B68" s="193">
        <v>15.36</v>
      </c>
      <c r="C68" s="193">
        <v>29.99</v>
      </c>
      <c r="D68" s="193"/>
      <c r="E68" s="193"/>
      <c r="F68" s="193"/>
      <c r="G68" s="193"/>
      <c r="H68" s="193"/>
      <c r="I68" s="193"/>
      <c r="J68" s="193"/>
      <c r="K68" s="193"/>
      <c r="L68" s="193">
        <v>75.66</v>
      </c>
      <c r="M68" s="193"/>
    </row>
    <row r="69" spans="1:13" ht="12.75">
      <c r="A69" s="203">
        <v>513090</v>
      </c>
      <c r="B69" s="193">
        <v>88.26</v>
      </c>
      <c r="C69" s="193">
        <v>481.68</v>
      </c>
      <c r="D69" s="193"/>
      <c r="E69" s="193"/>
      <c r="F69" s="193"/>
      <c r="G69" s="193"/>
      <c r="H69" s="193"/>
      <c r="I69" s="193"/>
      <c r="J69" s="193"/>
      <c r="K69" s="193"/>
      <c r="L69" s="193">
        <v>845</v>
      </c>
      <c r="M69" s="193"/>
    </row>
    <row r="70" spans="1:13" ht="12.75">
      <c r="A70" s="203">
        <v>514100</v>
      </c>
      <c r="B70" s="193">
        <v>48.45</v>
      </c>
      <c r="C70" s="193">
        <v>47.07</v>
      </c>
      <c r="D70" s="193"/>
      <c r="E70" s="193"/>
      <c r="F70" s="193"/>
      <c r="G70" s="193"/>
      <c r="H70" s="193"/>
      <c r="I70" s="193"/>
      <c r="J70" s="193"/>
      <c r="K70" s="193"/>
      <c r="L70" s="193">
        <v>199</v>
      </c>
      <c r="M70" s="193"/>
    </row>
    <row r="71" spans="1:13" ht="12.75">
      <c r="A71" s="203">
        <v>515110</v>
      </c>
      <c r="B71" s="193">
        <v>20.28</v>
      </c>
      <c r="C71" s="193">
        <v>19.19</v>
      </c>
      <c r="D71" s="193"/>
      <c r="E71" s="193"/>
      <c r="F71" s="193"/>
      <c r="G71" s="193"/>
      <c r="H71" s="193"/>
      <c r="I71" s="193"/>
      <c r="J71" s="193"/>
      <c r="K71" s="193"/>
      <c r="L71" s="193">
        <v>84.5</v>
      </c>
      <c r="M71" s="193"/>
    </row>
    <row r="72" spans="1:13" ht="12.75">
      <c r="A72" s="203">
        <v>521120</v>
      </c>
      <c r="B72" s="193"/>
      <c r="C72" s="193"/>
      <c r="D72" s="193">
        <v>383.44</v>
      </c>
      <c r="E72" s="193">
        <v>71.37</v>
      </c>
      <c r="F72" s="193"/>
      <c r="G72" s="193"/>
      <c r="H72" s="193"/>
      <c r="I72" s="193"/>
      <c r="J72" s="193"/>
      <c r="K72" s="193"/>
      <c r="L72" s="193">
        <v>749.99</v>
      </c>
      <c r="M72" s="193"/>
    </row>
    <row r="73" spans="1:13" ht="12.75">
      <c r="A73" s="203">
        <v>522130</v>
      </c>
      <c r="B73" s="193"/>
      <c r="C73" s="193"/>
      <c r="D73" s="193">
        <v>27.48</v>
      </c>
      <c r="E73" s="193">
        <v>25.51</v>
      </c>
      <c r="F73" s="193"/>
      <c r="G73" s="193"/>
      <c r="H73" s="193"/>
      <c r="I73" s="193"/>
      <c r="J73" s="193"/>
      <c r="K73" s="193"/>
      <c r="L73" s="193">
        <v>268.75</v>
      </c>
      <c r="M73" s="193"/>
    </row>
    <row r="74" spans="1:13" ht="12.75">
      <c r="A74" s="203">
        <v>522140</v>
      </c>
      <c r="B74" s="193"/>
      <c r="C74" s="193"/>
      <c r="D74" s="193">
        <v>15.17</v>
      </c>
      <c r="E74" s="193">
        <v>14.95</v>
      </c>
      <c r="F74" s="193"/>
      <c r="G74" s="193"/>
      <c r="H74" s="193"/>
      <c r="I74" s="193"/>
      <c r="J74" s="193"/>
      <c r="K74" s="193"/>
      <c r="L74" s="193">
        <v>165.4</v>
      </c>
      <c r="M74" s="193"/>
    </row>
    <row r="75" spans="1:13" ht="12.75">
      <c r="A75" s="203">
        <v>523150</v>
      </c>
      <c r="B75" s="193"/>
      <c r="C75" s="193"/>
      <c r="D75" s="193">
        <v>85.62</v>
      </c>
      <c r="E75" s="193">
        <v>77.85</v>
      </c>
      <c r="F75" s="193"/>
      <c r="G75" s="193"/>
      <c r="H75" s="193"/>
      <c r="I75" s="193"/>
      <c r="J75" s="193"/>
      <c r="K75" s="193"/>
      <c r="L75" s="193">
        <v>849.5</v>
      </c>
      <c r="M75" s="193"/>
    </row>
    <row r="76" spans="1:13" ht="12.75">
      <c r="A76" s="203">
        <v>531160</v>
      </c>
      <c r="B76" s="193"/>
      <c r="C76" s="193"/>
      <c r="D76" s="193"/>
      <c r="E76" s="193"/>
      <c r="F76" s="193">
        <v>13.43</v>
      </c>
      <c r="G76" s="193">
        <v>66.55</v>
      </c>
      <c r="H76" s="193"/>
      <c r="I76" s="193"/>
      <c r="J76" s="193"/>
      <c r="K76" s="193"/>
      <c r="L76" s="193">
        <v>149.5</v>
      </c>
      <c r="M76" s="193"/>
    </row>
    <row r="77" spans="1:13" ht="12.75">
      <c r="A77" s="203">
        <v>531170</v>
      </c>
      <c r="B77" s="193"/>
      <c r="C77" s="193"/>
      <c r="D77" s="193"/>
      <c r="E77" s="193"/>
      <c r="F77" s="193">
        <v>13.43</v>
      </c>
      <c r="G77" s="193">
        <v>66.55</v>
      </c>
      <c r="H77" s="193"/>
      <c r="I77" s="193"/>
      <c r="J77" s="193"/>
      <c r="K77" s="193"/>
      <c r="L77" s="193">
        <v>149.5</v>
      </c>
      <c r="M77" s="193"/>
    </row>
    <row r="78" spans="1:13" ht="12.75">
      <c r="A78" s="203">
        <v>532180</v>
      </c>
      <c r="B78" s="193"/>
      <c r="C78" s="193"/>
      <c r="D78" s="193"/>
      <c r="E78" s="193"/>
      <c r="F78" s="193">
        <v>12.21</v>
      </c>
      <c r="G78" s="193">
        <v>3.32</v>
      </c>
      <c r="H78" s="193"/>
      <c r="I78" s="193"/>
      <c r="J78" s="193"/>
      <c r="K78" s="193"/>
      <c r="L78" s="193">
        <v>20.02</v>
      </c>
      <c r="M78" s="193"/>
    </row>
    <row r="79" spans="1:13" ht="12.75">
      <c r="A79" s="203">
        <v>533190</v>
      </c>
      <c r="B79" s="193"/>
      <c r="C79" s="193"/>
      <c r="D79" s="193"/>
      <c r="E79" s="193"/>
      <c r="F79" s="193">
        <v>84.81</v>
      </c>
      <c r="G79" s="193">
        <v>454.33</v>
      </c>
      <c r="H79" s="193"/>
      <c r="I79" s="193"/>
      <c r="J79" s="193"/>
      <c r="K79" s="193"/>
      <c r="L79" s="193">
        <v>799.99</v>
      </c>
      <c r="M79" s="193"/>
    </row>
    <row r="80" spans="1:13" ht="12.75">
      <c r="A80" s="203">
        <v>533200</v>
      </c>
      <c r="B80" s="193"/>
      <c r="C80" s="193"/>
      <c r="D80" s="193"/>
      <c r="E80" s="193"/>
      <c r="F80" s="193">
        <v>79.5</v>
      </c>
      <c r="G80" s="193">
        <v>81.69</v>
      </c>
      <c r="H80" s="193"/>
      <c r="I80" s="193"/>
      <c r="J80" s="193"/>
      <c r="K80" s="193"/>
      <c r="L80" s="193">
        <v>383.95</v>
      </c>
      <c r="M80" s="193"/>
    </row>
    <row r="81" spans="1:13" ht="12.75">
      <c r="A81" s="203">
        <v>541210</v>
      </c>
      <c r="B81" s="193"/>
      <c r="C81" s="193"/>
      <c r="D81" s="193"/>
      <c r="E81" s="193"/>
      <c r="F81" s="193"/>
      <c r="G81" s="193"/>
      <c r="H81" s="193">
        <v>94.75</v>
      </c>
      <c r="I81" s="193">
        <v>188</v>
      </c>
      <c r="J81" s="193"/>
      <c r="K81" s="193"/>
      <c r="L81" s="193">
        <v>18.18</v>
      </c>
      <c r="M81" s="193"/>
    </row>
    <row r="82" spans="1:13" ht="12.75">
      <c r="A82" s="203">
        <v>541220</v>
      </c>
      <c r="B82" s="193"/>
      <c r="C82" s="193"/>
      <c r="D82" s="193"/>
      <c r="E82" s="193"/>
      <c r="F82" s="193"/>
      <c r="G82" s="193"/>
      <c r="H82" s="193">
        <v>103.75</v>
      </c>
      <c r="I82" s="193">
        <v>22.6</v>
      </c>
      <c r="J82" s="193"/>
      <c r="K82" s="193"/>
      <c r="L82" s="193">
        <v>222.22</v>
      </c>
      <c r="M82" s="193"/>
    </row>
    <row r="83" spans="1:13" ht="12.75">
      <c r="A83" s="203">
        <v>542230</v>
      </c>
      <c r="B83" s="193"/>
      <c r="C83" s="193"/>
      <c r="D83" s="193"/>
      <c r="E83" s="193"/>
      <c r="F83" s="193"/>
      <c r="G83" s="193"/>
      <c r="H83" s="193">
        <v>568.77</v>
      </c>
      <c r="I83" s="193">
        <v>109.01</v>
      </c>
      <c r="J83" s="193"/>
      <c r="K83" s="193"/>
      <c r="L83" s="193">
        <v>525.52</v>
      </c>
      <c r="M83" s="193"/>
    </row>
    <row r="84" spans="1:13" ht="12.75">
      <c r="A84" s="203">
        <v>542240</v>
      </c>
      <c r="B84" s="193"/>
      <c r="C84" s="193"/>
      <c r="D84" s="193"/>
      <c r="E84" s="193"/>
      <c r="F84" s="193"/>
      <c r="G84" s="193"/>
      <c r="H84" s="193">
        <v>36.5</v>
      </c>
      <c r="I84" s="193">
        <v>188</v>
      </c>
      <c r="J84" s="193"/>
      <c r="K84" s="193"/>
      <c r="L84" s="193">
        <v>358.68</v>
      </c>
      <c r="M84" s="193"/>
    </row>
    <row r="85" spans="1:13" ht="12.75">
      <c r="A85" s="203">
        <v>542250</v>
      </c>
      <c r="B85" s="193"/>
      <c r="C85" s="193"/>
      <c r="D85" s="193"/>
      <c r="E85" s="193"/>
      <c r="F85" s="193"/>
      <c r="G85" s="193"/>
      <c r="H85" s="193">
        <v>19.45</v>
      </c>
      <c r="I85" s="193">
        <v>18.5</v>
      </c>
      <c r="J85" s="193"/>
      <c r="K85" s="193"/>
      <c r="L85" s="193">
        <v>93.78</v>
      </c>
      <c r="M85" s="193"/>
    </row>
    <row r="86" spans="1:13" ht="12.75">
      <c r="A86" s="203">
        <v>542255</v>
      </c>
      <c r="B86" s="193"/>
      <c r="C86" s="193"/>
      <c r="D86" s="193"/>
      <c r="E86" s="193"/>
      <c r="F86" s="193"/>
      <c r="G86" s="193"/>
      <c r="H86" s="193">
        <v>151.99</v>
      </c>
      <c r="I86" s="193">
        <v>155.44</v>
      </c>
      <c r="J86" s="193"/>
      <c r="K86" s="193"/>
      <c r="L86" s="193">
        <v>471.99</v>
      </c>
      <c r="M86" s="193"/>
    </row>
    <row r="87" spans="1:13" ht="12.75">
      <c r="A87" s="203">
        <v>543260</v>
      </c>
      <c r="B87" s="193"/>
      <c r="C87" s="193"/>
      <c r="D87" s="193"/>
      <c r="E87" s="193"/>
      <c r="F87" s="193"/>
      <c r="G87" s="193"/>
      <c r="H87" s="193">
        <v>124.86</v>
      </c>
      <c r="I87" s="193">
        <v>243.55</v>
      </c>
      <c r="J87" s="193"/>
      <c r="K87" s="193"/>
      <c r="L87" s="193">
        <v>23.48</v>
      </c>
      <c r="M87" s="193"/>
    </row>
    <row r="88" spans="1:13" ht="12.75">
      <c r="A88" s="203">
        <v>543270</v>
      </c>
      <c r="B88" s="193"/>
      <c r="C88" s="193"/>
      <c r="D88" s="193"/>
      <c r="E88" s="193"/>
      <c r="F88" s="193"/>
      <c r="G88" s="193"/>
      <c r="H88" s="193">
        <v>439</v>
      </c>
      <c r="I88" s="193">
        <v>419.95</v>
      </c>
      <c r="J88" s="193"/>
      <c r="K88" s="193"/>
      <c r="L88" s="193">
        <v>138.07</v>
      </c>
      <c r="M88" s="193"/>
    </row>
    <row r="89" spans="1:13" ht="12.75">
      <c r="A89" s="203">
        <v>551280</v>
      </c>
      <c r="B89" s="193"/>
      <c r="C89" s="193"/>
      <c r="D89" s="193"/>
      <c r="E89" s="193"/>
      <c r="F89" s="193"/>
      <c r="G89" s="193"/>
      <c r="H89" s="193"/>
      <c r="I89" s="193"/>
      <c r="J89" s="193">
        <v>245</v>
      </c>
      <c r="K89" s="193">
        <v>48.55</v>
      </c>
      <c r="L89" s="193">
        <v>529.15</v>
      </c>
      <c r="M89" s="193"/>
    </row>
    <row r="90" spans="1:13" ht="12.75">
      <c r="A90" s="203">
        <v>551290</v>
      </c>
      <c r="B90" s="193"/>
      <c r="C90" s="193"/>
      <c r="D90" s="193"/>
      <c r="E90" s="193"/>
      <c r="F90" s="193"/>
      <c r="G90" s="193"/>
      <c r="H90" s="193"/>
      <c r="I90" s="193"/>
      <c r="J90" s="193">
        <v>371.66</v>
      </c>
      <c r="K90" s="193">
        <v>74.71</v>
      </c>
      <c r="L90" s="193">
        <v>809.15</v>
      </c>
      <c r="M90" s="193"/>
    </row>
    <row r="91" spans="1:13" ht="12.75">
      <c r="A91" s="203">
        <v>552300</v>
      </c>
      <c r="B91" s="193"/>
      <c r="C91" s="193"/>
      <c r="D91" s="193"/>
      <c r="E91" s="193"/>
      <c r="F91" s="193"/>
      <c r="G91" s="193"/>
      <c r="H91" s="193"/>
      <c r="I91" s="193"/>
      <c r="J91" s="193">
        <v>399.77</v>
      </c>
      <c r="K91" s="193">
        <v>377.5</v>
      </c>
      <c r="L91" s="193">
        <v>741.58</v>
      </c>
      <c r="M91" s="193"/>
    </row>
    <row r="92" spans="1:13" ht="12.75">
      <c r="A92" s="203">
        <v>552310</v>
      </c>
      <c r="B92" s="193"/>
      <c r="C92" s="193"/>
      <c r="D92" s="193"/>
      <c r="E92" s="193"/>
      <c r="F92" s="193"/>
      <c r="G92" s="193"/>
      <c r="H92" s="193"/>
      <c r="I92" s="193"/>
      <c r="J92" s="193">
        <v>347.85</v>
      </c>
      <c r="K92" s="193">
        <v>465</v>
      </c>
      <c r="L92" s="193">
        <v>445</v>
      </c>
      <c r="M92" s="193"/>
    </row>
    <row r="93" spans="1:13" ht="15.75">
      <c r="A93" s="204" t="s">
        <v>247</v>
      </c>
      <c r="B93" s="205">
        <v>21001</v>
      </c>
      <c r="C93" s="205">
        <v>21002</v>
      </c>
      <c r="D93" s="205">
        <v>22003</v>
      </c>
      <c r="E93" s="205">
        <v>22004</v>
      </c>
      <c r="F93" s="205">
        <v>23005</v>
      </c>
      <c r="G93" s="205">
        <v>23006</v>
      </c>
      <c r="H93" s="205">
        <v>24007</v>
      </c>
      <c r="I93" s="205">
        <v>24008</v>
      </c>
      <c r="J93" s="205">
        <v>25009</v>
      </c>
      <c r="K93" s="205">
        <v>25010</v>
      </c>
      <c r="L93" s="205">
        <v>26011</v>
      </c>
      <c r="M93" s="205">
        <v>21012</v>
      </c>
    </row>
    <row r="94" spans="1:13" ht="12.75">
      <c r="A94" s="206">
        <v>511010</v>
      </c>
      <c r="B94" s="193">
        <v>0.5</v>
      </c>
      <c r="C94" s="193">
        <v>1</v>
      </c>
      <c r="D94" s="193"/>
      <c r="E94" s="193"/>
      <c r="F94" s="193"/>
      <c r="G94" s="193"/>
      <c r="H94" s="193"/>
      <c r="I94" s="193"/>
      <c r="J94" s="193"/>
      <c r="K94" s="193"/>
      <c r="L94" s="193">
        <v>0.9</v>
      </c>
      <c r="M94" s="193"/>
    </row>
    <row r="95" spans="1:13" ht="12.75">
      <c r="A95" s="206">
        <v>511020</v>
      </c>
      <c r="B95" s="193">
        <v>0.44</v>
      </c>
      <c r="C95" s="193">
        <v>1</v>
      </c>
      <c r="D95" s="193"/>
      <c r="E95" s="193"/>
      <c r="F95" s="193"/>
      <c r="G95" s="193"/>
      <c r="H95" s="193"/>
      <c r="I95" s="193"/>
      <c r="J95" s="193"/>
      <c r="K95" s="193"/>
      <c r="L95" s="193">
        <v>0.8</v>
      </c>
      <c r="M95" s="193"/>
    </row>
    <row r="96" spans="1:13" ht="12.75">
      <c r="A96" s="206">
        <v>511030</v>
      </c>
      <c r="B96" s="193">
        <v>0.66</v>
      </c>
      <c r="C96" s="193">
        <v>0.72</v>
      </c>
      <c r="D96" s="193"/>
      <c r="E96" s="193"/>
      <c r="F96" s="193"/>
      <c r="G96" s="193"/>
      <c r="H96" s="193"/>
      <c r="I96" s="193"/>
      <c r="J96" s="193"/>
      <c r="K96" s="193"/>
      <c r="L96" s="193">
        <v>0.88</v>
      </c>
      <c r="M96" s="193"/>
    </row>
    <row r="97" spans="1:13" ht="12.75">
      <c r="A97" s="206">
        <v>512040</v>
      </c>
      <c r="B97" s="193">
        <v>0.22</v>
      </c>
      <c r="C97" s="193">
        <v>0.2</v>
      </c>
      <c r="D97" s="193"/>
      <c r="E97" s="193"/>
      <c r="F97" s="193"/>
      <c r="G97" s="193"/>
      <c r="H97" s="193"/>
      <c r="I97" s="193"/>
      <c r="J97" s="193"/>
      <c r="K97" s="193"/>
      <c r="L97" s="193">
        <v>0.75</v>
      </c>
      <c r="M97" s="193"/>
    </row>
    <row r="98" spans="1:13" ht="12.75">
      <c r="A98" s="206">
        <v>512050</v>
      </c>
      <c r="B98" s="193">
        <v>1</v>
      </c>
      <c r="C98" s="193">
        <v>0.95</v>
      </c>
      <c r="D98" s="193"/>
      <c r="E98" s="193"/>
      <c r="F98" s="193"/>
      <c r="G98" s="193"/>
      <c r="H98" s="193"/>
      <c r="I98" s="193"/>
      <c r="J98" s="193"/>
      <c r="K98" s="193"/>
      <c r="L98" s="193">
        <v>0.5</v>
      </c>
      <c r="M98" s="193"/>
    </row>
    <row r="99" spans="1:13" ht="12.75">
      <c r="A99" s="206">
        <v>512060</v>
      </c>
      <c r="B99" s="193">
        <v>0.95</v>
      </c>
      <c r="C99" s="193">
        <v>1</v>
      </c>
      <c r="D99" s="193"/>
      <c r="E99" s="193"/>
      <c r="F99" s="193"/>
      <c r="G99" s="193"/>
      <c r="H99" s="193"/>
      <c r="I99" s="193"/>
      <c r="J99" s="193"/>
      <c r="K99" s="193"/>
      <c r="L99" s="193">
        <v>0.45</v>
      </c>
      <c r="M99" s="193"/>
    </row>
    <row r="100" spans="1:13" ht="12.75">
      <c r="A100" s="206">
        <v>512065</v>
      </c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>
        <v>0</v>
      </c>
    </row>
    <row r="101" spans="1:13" ht="12.75">
      <c r="A101" s="206">
        <v>512070</v>
      </c>
      <c r="B101" s="193">
        <v>0.55</v>
      </c>
      <c r="C101" s="193">
        <v>0.66</v>
      </c>
      <c r="D101" s="193"/>
      <c r="E101" s="193"/>
      <c r="F101" s="193"/>
      <c r="G101" s="193"/>
      <c r="H101" s="193"/>
      <c r="I101" s="193"/>
      <c r="J101" s="193"/>
      <c r="K101" s="193"/>
      <c r="L101" s="193">
        <v>0.46</v>
      </c>
      <c r="M101" s="193"/>
    </row>
    <row r="102" spans="1:13" ht="12.75">
      <c r="A102" s="206">
        <v>512075</v>
      </c>
      <c r="B102" s="193">
        <v>0.58</v>
      </c>
      <c r="C102" s="193">
        <v>0.75</v>
      </c>
      <c r="D102" s="193"/>
      <c r="E102" s="193"/>
      <c r="F102" s="193"/>
      <c r="G102" s="193"/>
      <c r="H102" s="193"/>
      <c r="I102" s="193"/>
      <c r="J102" s="193"/>
      <c r="K102" s="193"/>
      <c r="L102" s="193">
        <v>0.65</v>
      </c>
      <c r="M102" s="193"/>
    </row>
    <row r="103" spans="1:13" ht="12.75">
      <c r="A103" s="206">
        <v>512080</v>
      </c>
      <c r="B103" s="193">
        <v>0.22</v>
      </c>
      <c r="C103" s="193">
        <v>0.23</v>
      </c>
      <c r="D103" s="193"/>
      <c r="E103" s="193"/>
      <c r="F103" s="193"/>
      <c r="G103" s="193"/>
      <c r="H103" s="193"/>
      <c r="I103" s="193"/>
      <c r="J103" s="193"/>
      <c r="K103" s="193"/>
      <c r="L103" s="193">
        <v>0.88</v>
      </c>
      <c r="M103" s="193"/>
    </row>
    <row r="104" spans="1:13" ht="12.75">
      <c r="A104" s="206">
        <v>513090</v>
      </c>
      <c r="B104" s="193">
        <v>0.88</v>
      </c>
      <c r="C104" s="193">
        <v>1</v>
      </c>
      <c r="D104" s="193"/>
      <c r="E104" s="193"/>
      <c r="F104" s="193"/>
      <c r="G104" s="193"/>
      <c r="H104" s="193"/>
      <c r="I104" s="193"/>
      <c r="J104" s="193"/>
      <c r="K104" s="193"/>
      <c r="L104" s="193">
        <v>0.89</v>
      </c>
      <c r="M104" s="193"/>
    </row>
    <row r="105" spans="1:13" ht="12.75">
      <c r="A105" s="206">
        <v>514100</v>
      </c>
      <c r="B105" s="193">
        <v>0.96</v>
      </c>
      <c r="C105" s="193">
        <v>1.45</v>
      </c>
      <c r="D105" s="193"/>
      <c r="E105" s="193"/>
      <c r="F105" s="193"/>
      <c r="G105" s="193"/>
      <c r="H105" s="193"/>
      <c r="I105" s="193"/>
      <c r="J105" s="193"/>
      <c r="K105" s="193"/>
      <c r="L105" s="193">
        <v>0.99</v>
      </c>
      <c r="M105" s="193"/>
    </row>
    <row r="106" spans="1:13" ht="12.75">
      <c r="A106" s="206">
        <v>515110</v>
      </c>
      <c r="B106" s="193">
        <v>0.75</v>
      </c>
      <c r="C106" s="193">
        <v>1</v>
      </c>
      <c r="D106" s="193"/>
      <c r="E106" s="193"/>
      <c r="F106" s="193"/>
      <c r="G106" s="193"/>
      <c r="H106" s="193"/>
      <c r="I106" s="193"/>
      <c r="J106" s="193"/>
      <c r="K106" s="193"/>
      <c r="L106" s="193">
        <v>0.85</v>
      </c>
      <c r="M106" s="193"/>
    </row>
    <row r="107" spans="1:13" ht="12.75">
      <c r="A107" s="206">
        <v>521120</v>
      </c>
      <c r="B107" s="193"/>
      <c r="C107" s="193"/>
      <c r="D107" s="193">
        <v>0.99</v>
      </c>
      <c r="E107" s="193">
        <v>1</v>
      </c>
      <c r="F107" s="193"/>
      <c r="G107" s="193"/>
      <c r="H107" s="193"/>
      <c r="I107" s="193"/>
      <c r="J107" s="193"/>
      <c r="K107" s="193"/>
      <c r="L107" s="193">
        <v>0.99</v>
      </c>
      <c r="M107" s="193"/>
    </row>
    <row r="108" spans="1:13" ht="12.75">
      <c r="A108" s="206">
        <v>522130</v>
      </c>
      <c r="B108" s="193"/>
      <c r="C108" s="193"/>
      <c r="D108" s="193">
        <v>0</v>
      </c>
      <c r="E108" s="193">
        <v>0.72</v>
      </c>
      <c r="F108" s="193"/>
      <c r="G108" s="193"/>
      <c r="H108" s="193"/>
      <c r="I108" s="193"/>
      <c r="J108" s="193"/>
      <c r="K108" s="193"/>
      <c r="L108" s="193">
        <v>0.99</v>
      </c>
      <c r="M108" s="193"/>
    </row>
    <row r="109" spans="1:13" ht="12.75">
      <c r="A109" s="206">
        <v>522140</v>
      </c>
      <c r="B109" s="193"/>
      <c r="C109" s="193"/>
      <c r="D109" s="193">
        <v>0</v>
      </c>
      <c r="E109" s="193">
        <v>1</v>
      </c>
      <c r="F109" s="193"/>
      <c r="G109" s="193"/>
      <c r="H109" s="193"/>
      <c r="I109" s="193"/>
      <c r="J109" s="193"/>
      <c r="K109" s="193"/>
      <c r="L109" s="193">
        <v>1.65</v>
      </c>
      <c r="M109" s="193"/>
    </row>
    <row r="110" spans="1:13" ht="12.75">
      <c r="A110" s="206">
        <v>523150</v>
      </c>
      <c r="B110" s="193"/>
      <c r="C110" s="193"/>
      <c r="D110" s="193">
        <v>0.99</v>
      </c>
      <c r="E110" s="193">
        <v>0.66</v>
      </c>
      <c r="F110" s="193"/>
      <c r="G110" s="193"/>
      <c r="H110" s="193"/>
      <c r="I110" s="193"/>
      <c r="J110" s="193"/>
      <c r="K110" s="193"/>
      <c r="L110" s="193">
        <v>1.24</v>
      </c>
      <c r="M110" s="193"/>
    </row>
    <row r="111" spans="1:13" ht="12.75">
      <c r="A111" s="206">
        <v>531160</v>
      </c>
      <c r="B111" s="193"/>
      <c r="C111" s="193"/>
      <c r="D111" s="193"/>
      <c r="E111" s="193"/>
      <c r="F111" s="193">
        <v>0.44</v>
      </c>
      <c r="G111" s="193">
        <v>0.36</v>
      </c>
      <c r="H111" s="193"/>
      <c r="I111" s="193"/>
      <c r="J111" s="193"/>
      <c r="K111" s="193"/>
      <c r="L111" s="193">
        <v>0.78</v>
      </c>
      <c r="M111" s="193"/>
    </row>
    <row r="112" spans="1:13" ht="12.75">
      <c r="A112" s="206">
        <v>531170</v>
      </c>
      <c r="B112" s="193"/>
      <c r="C112" s="193"/>
      <c r="D112" s="193"/>
      <c r="E112" s="193"/>
      <c r="F112" s="193">
        <v>0.44</v>
      </c>
      <c r="G112" s="193">
        <v>0.36</v>
      </c>
      <c r="H112" s="193"/>
      <c r="I112" s="193"/>
      <c r="J112" s="193"/>
      <c r="K112" s="193"/>
      <c r="L112" s="193">
        <v>0.78</v>
      </c>
      <c r="M112" s="193"/>
    </row>
    <row r="113" spans="1:13" ht="12.75">
      <c r="A113" s="206">
        <v>532180</v>
      </c>
      <c r="B113" s="193"/>
      <c r="C113" s="193"/>
      <c r="D113" s="193"/>
      <c r="E113" s="193"/>
      <c r="F113" s="193">
        <v>0.22</v>
      </c>
      <c r="G113" s="193">
        <v>0.33</v>
      </c>
      <c r="H113" s="193"/>
      <c r="I113" s="193"/>
      <c r="J113" s="193"/>
      <c r="K113" s="193"/>
      <c r="L113" s="193">
        <v>0.29</v>
      </c>
      <c r="M113" s="193"/>
    </row>
    <row r="114" spans="1:13" ht="12.75">
      <c r="A114" s="206">
        <v>533190</v>
      </c>
      <c r="B114" s="193"/>
      <c r="C114" s="193"/>
      <c r="D114" s="193"/>
      <c r="E114" s="193"/>
      <c r="F114" s="193">
        <v>0.88</v>
      </c>
      <c r="G114" s="193">
        <v>0.66</v>
      </c>
      <c r="H114" s="193"/>
      <c r="I114" s="193"/>
      <c r="J114" s="193"/>
      <c r="K114" s="193"/>
      <c r="L114" s="193">
        <v>0.84</v>
      </c>
      <c r="M114" s="193"/>
    </row>
    <row r="115" spans="1:13" ht="12.75">
      <c r="A115" s="206">
        <v>533200</v>
      </c>
      <c r="B115" s="193"/>
      <c r="C115" s="193"/>
      <c r="D115" s="193"/>
      <c r="E115" s="193"/>
      <c r="F115" s="193">
        <v>0.88</v>
      </c>
      <c r="G115" s="193">
        <v>0.77</v>
      </c>
      <c r="H115" s="193"/>
      <c r="I115" s="193"/>
      <c r="J115" s="193"/>
      <c r="K115" s="193"/>
      <c r="L115" s="193">
        <v>0.88</v>
      </c>
      <c r="M115" s="193"/>
    </row>
    <row r="116" spans="1:13" ht="12.75">
      <c r="A116" s="206">
        <v>541210</v>
      </c>
      <c r="B116" s="193"/>
      <c r="C116" s="193"/>
      <c r="D116" s="193"/>
      <c r="E116" s="193"/>
      <c r="F116" s="193"/>
      <c r="G116" s="193"/>
      <c r="H116" s="193">
        <v>0.88</v>
      </c>
      <c r="I116" s="193">
        <v>0.87</v>
      </c>
      <c r="J116" s="193"/>
      <c r="K116" s="193"/>
      <c r="L116" s="193">
        <v>0.89</v>
      </c>
      <c r="M116" s="193"/>
    </row>
    <row r="117" spans="1:13" ht="12.75">
      <c r="A117" s="206">
        <v>541220</v>
      </c>
      <c r="B117" s="193"/>
      <c r="C117" s="193"/>
      <c r="D117" s="193"/>
      <c r="E117" s="193"/>
      <c r="F117" s="193"/>
      <c r="G117" s="193"/>
      <c r="H117" s="193">
        <v>0.88</v>
      </c>
      <c r="I117" s="193">
        <v>0.65</v>
      </c>
      <c r="J117" s="193"/>
      <c r="K117" s="193"/>
      <c r="L117" s="193">
        <v>0.65</v>
      </c>
      <c r="M117" s="193"/>
    </row>
    <row r="118" spans="1:13" ht="12.75">
      <c r="A118" s="206">
        <v>542230</v>
      </c>
      <c r="B118" s="193"/>
      <c r="C118" s="193"/>
      <c r="D118" s="193"/>
      <c r="E118" s="193"/>
      <c r="F118" s="193"/>
      <c r="G118" s="193"/>
      <c r="H118" s="193">
        <v>0.88</v>
      </c>
      <c r="I118" s="193">
        <v>0.65</v>
      </c>
      <c r="J118" s="193"/>
      <c r="K118" s="193"/>
      <c r="L118" s="193">
        <v>0.49</v>
      </c>
      <c r="M118" s="193"/>
    </row>
    <row r="119" spans="1:13" ht="12.75">
      <c r="A119" s="206">
        <v>542240</v>
      </c>
      <c r="B119" s="193"/>
      <c r="C119" s="193"/>
      <c r="D119" s="193"/>
      <c r="E119" s="193"/>
      <c r="F119" s="193"/>
      <c r="G119" s="193"/>
      <c r="H119" s="193">
        <v>0.44</v>
      </c>
      <c r="I119" s="193">
        <v>0.44</v>
      </c>
      <c r="J119" s="193"/>
      <c r="K119" s="193"/>
      <c r="L119" s="193">
        <v>0.9</v>
      </c>
      <c r="M119" s="193"/>
    </row>
    <row r="120" spans="1:13" ht="12.75">
      <c r="A120" s="206">
        <v>542250</v>
      </c>
      <c r="B120" s="193"/>
      <c r="C120" s="193"/>
      <c r="D120" s="193"/>
      <c r="E120" s="193"/>
      <c r="F120" s="193"/>
      <c r="G120" s="193"/>
      <c r="H120" s="193">
        <v>0.28</v>
      </c>
      <c r="I120" s="193">
        <v>0.33</v>
      </c>
      <c r="J120" s="193"/>
      <c r="K120" s="193"/>
      <c r="L120" s="193">
        <v>0.44</v>
      </c>
      <c r="M120" s="193"/>
    </row>
    <row r="121" spans="1:13" ht="12.75">
      <c r="A121" s="206">
        <v>542255</v>
      </c>
      <c r="B121" s="193"/>
      <c r="C121" s="193"/>
      <c r="D121" s="193"/>
      <c r="E121" s="193"/>
      <c r="F121" s="193"/>
      <c r="G121" s="193"/>
      <c r="H121" s="193">
        <v>0.99</v>
      </c>
      <c r="I121" s="193">
        <v>0.95</v>
      </c>
      <c r="J121" s="193"/>
      <c r="K121" s="193"/>
      <c r="L121" s="193">
        <v>0.7</v>
      </c>
      <c r="M121" s="193"/>
    </row>
    <row r="122" spans="1:13" ht="12.75">
      <c r="A122" s="206">
        <v>543260</v>
      </c>
      <c r="B122" s="193"/>
      <c r="C122" s="193"/>
      <c r="D122" s="193"/>
      <c r="E122" s="193"/>
      <c r="F122" s="193"/>
      <c r="G122" s="193"/>
      <c r="H122" s="193">
        <v>0.88</v>
      </c>
      <c r="I122" s="193">
        <v>0.72</v>
      </c>
      <c r="J122" s="193"/>
      <c r="K122" s="193"/>
      <c r="L122" s="193">
        <v>0.44</v>
      </c>
      <c r="M122" s="193"/>
    </row>
    <row r="123" spans="1:13" ht="12.75">
      <c r="A123" s="206">
        <v>543270</v>
      </c>
      <c r="B123" s="193"/>
      <c r="C123" s="193"/>
      <c r="D123" s="193"/>
      <c r="E123" s="193"/>
      <c r="F123" s="193"/>
      <c r="G123" s="193"/>
      <c r="H123" s="193">
        <v>0.99</v>
      </c>
      <c r="I123" s="193">
        <v>0.62</v>
      </c>
      <c r="J123" s="193"/>
      <c r="K123" s="193"/>
      <c r="L123" s="193">
        <v>0.99</v>
      </c>
      <c r="M123" s="193"/>
    </row>
    <row r="124" spans="1:13" ht="12.75">
      <c r="A124" s="206">
        <v>551280</v>
      </c>
      <c r="B124" s="193"/>
      <c r="C124" s="193"/>
      <c r="D124" s="193"/>
      <c r="E124" s="193"/>
      <c r="F124" s="193"/>
      <c r="G124" s="193"/>
      <c r="H124" s="193"/>
      <c r="I124" s="193"/>
      <c r="J124" s="193">
        <v>2</v>
      </c>
      <c r="K124" s="193">
        <v>1.75</v>
      </c>
      <c r="L124" s="193">
        <v>2</v>
      </c>
      <c r="M124" s="193"/>
    </row>
    <row r="125" spans="1:13" ht="12.75">
      <c r="A125" s="206">
        <v>551290</v>
      </c>
      <c r="B125" s="193"/>
      <c r="C125" s="193"/>
      <c r="D125" s="193"/>
      <c r="E125" s="193"/>
      <c r="F125" s="193"/>
      <c r="G125" s="193"/>
      <c r="H125" s="193"/>
      <c r="I125" s="193"/>
      <c r="J125" s="193">
        <v>1.99</v>
      </c>
      <c r="K125" s="193">
        <v>1.7</v>
      </c>
      <c r="L125" s="193">
        <v>2</v>
      </c>
      <c r="M125" s="193"/>
    </row>
    <row r="126" spans="1:13" ht="12.75">
      <c r="A126" s="206">
        <v>552300</v>
      </c>
      <c r="B126" s="193"/>
      <c r="C126" s="193"/>
      <c r="D126" s="193"/>
      <c r="E126" s="193"/>
      <c r="F126" s="193"/>
      <c r="G126" s="193"/>
      <c r="H126" s="193"/>
      <c r="I126" s="193"/>
      <c r="J126" s="193">
        <v>0.75</v>
      </c>
      <c r="K126" s="193">
        <v>0.9</v>
      </c>
      <c r="L126" s="193">
        <v>0.99</v>
      </c>
      <c r="M126" s="193"/>
    </row>
    <row r="127" spans="1:13" ht="12.75">
      <c r="A127" s="206">
        <v>552310</v>
      </c>
      <c r="B127" s="193"/>
      <c r="C127" s="193"/>
      <c r="D127" s="193"/>
      <c r="E127" s="193"/>
      <c r="F127" s="193"/>
      <c r="G127" s="193"/>
      <c r="H127" s="193"/>
      <c r="I127" s="193"/>
      <c r="J127" s="193">
        <v>0.75</v>
      </c>
      <c r="K127" s="193">
        <v>0.89</v>
      </c>
      <c r="L127" s="193">
        <v>0.88</v>
      </c>
      <c r="M127" s="193"/>
    </row>
    <row r="128" spans="1:13" ht="15.75">
      <c r="A128" s="207" t="s">
        <v>248</v>
      </c>
      <c r="B128" s="208">
        <v>21001</v>
      </c>
      <c r="C128" s="208">
        <v>21002</v>
      </c>
      <c r="D128" s="208">
        <v>22003</v>
      </c>
      <c r="E128" s="208">
        <v>22004</v>
      </c>
      <c r="F128" s="208">
        <v>23005</v>
      </c>
      <c r="G128" s="208">
        <v>23006</v>
      </c>
      <c r="H128" s="208">
        <v>24007</v>
      </c>
      <c r="I128" s="208">
        <v>24008</v>
      </c>
      <c r="J128" s="208">
        <v>25009</v>
      </c>
      <c r="K128" s="208">
        <v>25010</v>
      </c>
      <c r="L128" s="208">
        <v>26011</v>
      </c>
      <c r="M128" s="208">
        <v>21012</v>
      </c>
    </row>
    <row r="129" spans="1:13" ht="12.75">
      <c r="A129" s="209">
        <v>511010</v>
      </c>
      <c r="B129" s="210">
        <v>60</v>
      </c>
      <c r="C129" s="210">
        <v>12</v>
      </c>
      <c r="D129" s="210"/>
      <c r="E129" s="210"/>
      <c r="F129" s="210"/>
      <c r="G129" s="210"/>
      <c r="H129" s="210"/>
      <c r="I129" s="210"/>
      <c r="J129" s="210"/>
      <c r="K129" s="210"/>
      <c r="L129" s="210">
        <v>12</v>
      </c>
      <c r="M129" s="211"/>
    </row>
    <row r="130" spans="1:13" ht="12.75">
      <c r="A130" s="209">
        <v>511020</v>
      </c>
      <c r="B130" s="210">
        <v>50</v>
      </c>
      <c r="C130" s="210">
        <v>25</v>
      </c>
      <c r="D130" s="210"/>
      <c r="E130" s="210"/>
      <c r="F130" s="210"/>
      <c r="G130" s="210"/>
      <c r="H130" s="210"/>
      <c r="I130" s="210"/>
      <c r="J130" s="210"/>
      <c r="K130" s="210"/>
      <c r="L130" s="210">
        <v>10</v>
      </c>
      <c r="M130" s="211"/>
    </row>
    <row r="131" spans="1:13" ht="12.75">
      <c r="A131" s="209">
        <v>511030</v>
      </c>
      <c r="B131" s="210">
        <v>60</v>
      </c>
      <c r="C131" s="210">
        <v>50</v>
      </c>
      <c r="D131" s="210"/>
      <c r="E131" s="210"/>
      <c r="F131" s="210"/>
      <c r="G131" s="210"/>
      <c r="H131" s="210"/>
      <c r="I131" s="210"/>
      <c r="J131" s="210"/>
      <c r="K131" s="210"/>
      <c r="L131" s="210">
        <v>10</v>
      </c>
      <c r="M131" s="211"/>
    </row>
    <row r="132" spans="1:13" ht="12.75">
      <c r="A132" s="209">
        <v>512040</v>
      </c>
      <c r="B132" s="210">
        <v>150</v>
      </c>
      <c r="C132" s="210">
        <v>50</v>
      </c>
      <c r="D132" s="210"/>
      <c r="E132" s="210"/>
      <c r="F132" s="210"/>
      <c r="G132" s="210"/>
      <c r="H132" s="210"/>
      <c r="I132" s="210"/>
      <c r="J132" s="210"/>
      <c r="K132" s="210"/>
      <c r="L132" s="210">
        <v>300</v>
      </c>
      <c r="M132" s="211"/>
    </row>
    <row r="133" spans="1:13" ht="12.75">
      <c r="A133" s="209">
        <v>512050</v>
      </c>
      <c r="B133" s="210">
        <v>200</v>
      </c>
      <c r="C133" s="210">
        <v>50</v>
      </c>
      <c r="D133" s="210"/>
      <c r="E133" s="210"/>
      <c r="F133" s="210"/>
      <c r="G133" s="210"/>
      <c r="H133" s="210"/>
      <c r="I133" s="210"/>
      <c r="J133" s="210"/>
      <c r="K133" s="210"/>
      <c r="L133" s="210">
        <v>50</v>
      </c>
      <c r="M133" s="211"/>
    </row>
    <row r="134" spans="1:13" ht="12.75">
      <c r="A134" s="209">
        <v>512060</v>
      </c>
      <c r="B134" s="210">
        <v>200</v>
      </c>
      <c r="C134" s="210">
        <v>50</v>
      </c>
      <c r="D134" s="210"/>
      <c r="E134" s="210"/>
      <c r="F134" s="210"/>
      <c r="G134" s="210"/>
      <c r="H134" s="210"/>
      <c r="I134" s="210"/>
      <c r="J134" s="210"/>
      <c r="K134" s="210"/>
      <c r="L134" s="210">
        <v>50</v>
      </c>
      <c r="M134" s="211"/>
    </row>
    <row r="135" spans="1:13" ht="12.75">
      <c r="A135" s="209">
        <v>512065</v>
      </c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1">
        <v>100</v>
      </c>
    </row>
    <row r="136" spans="1:13" ht="12.75">
      <c r="A136" s="209">
        <v>512070</v>
      </c>
      <c r="B136" s="210">
        <v>12</v>
      </c>
      <c r="C136" s="210">
        <v>60</v>
      </c>
      <c r="D136" s="210"/>
      <c r="E136" s="210"/>
      <c r="F136" s="210"/>
      <c r="G136" s="210"/>
      <c r="H136" s="210"/>
      <c r="I136" s="210"/>
      <c r="J136" s="210"/>
      <c r="K136" s="210"/>
      <c r="L136" s="210">
        <v>120</v>
      </c>
      <c r="M136" s="211"/>
    </row>
    <row r="137" spans="1:13" ht="12.75">
      <c r="A137" s="209">
        <v>512075</v>
      </c>
      <c r="B137" s="210">
        <v>10</v>
      </c>
      <c r="C137" s="210">
        <v>10</v>
      </c>
      <c r="D137" s="210"/>
      <c r="E137" s="210"/>
      <c r="F137" s="210"/>
      <c r="G137" s="210"/>
      <c r="H137" s="210"/>
      <c r="I137" s="210"/>
      <c r="J137" s="210"/>
      <c r="K137" s="210"/>
      <c r="L137" s="210">
        <v>50</v>
      </c>
      <c r="M137" s="211"/>
    </row>
    <row r="138" spans="1:13" ht="12.75">
      <c r="A138" s="209">
        <v>512080</v>
      </c>
      <c r="B138" s="210">
        <v>100</v>
      </c>
      <c r="C138" s="210">
        <v>200</v>
      </c>
      <c r="D138" s="210"/>
      <c r="E138" s="210"/>
      <c r="F138" s="210"/>
      <c r="G138" s="210"/>
      <c r="H138" s="210"/>
      <c r="I138" s="210"/>
      <c r="J138" s="210"/>
      <c r="K138" s="210"/>
      <c r="L138" s="210">
        <v>500</v>
      </c>
      <c r="M138" s="211"/>
    </row>
    <row r="139" spans="1:13" ht="12.75">
      <c r="A139" s="209">
        <v>513090</v>
      </c>
      <c r="B139" s="210">
        <v>144</v>
      </c>
      <c r="C139" s="210">
        <v>720</v>
      </c>
      <c r="D139" s="210"/>
      <c r="E139" s="210"/>
      <c r="F139" s="210"/>
      <c r="G139" s="210"/>
      <c r="H139" s="210"/>
      <c r="I139" s="210"/>
      <c r="J139" s="210"/>
      <c r="K139" s="210"/>
      <c r="L139" s="210">
        <v>1440</v>
      </c>
      <c r="M139" s="211"/>
    </row>
    <row r="140" spans="1:13" ht="12.75">
      <c r="A140" s="209">
        <v>514100</v>
      </c>
      <c r="B140" s="210">
        <v>60</v>
      </c>
      <c r="C140" s="210">
        <v>60</v>
      </c>
      <c r="D140" s="210"/>
      <c r="E140" s="210"/>
      <c r="F140" s="210"/>
      <c r="G140" s="210"/>
      <c r="H140" s="210"/>
      <c r="I140" s="210"/>
      <c r="J140" s="210"/>
      <c r="K140" s="210"/>
      <c r="L140" s="210">
        <v>240</v>
      </c>
      <c r="M140" s="211"/>
    </row>
    <row r="141" spans="1:13" ht="12.75">
      <c r="A141" s="209">
        <v>515110</v>
      </c>
      <c r="B141" s="210">
        <v>60</v>
      </c>
      <c r="C141" s="210">
        <v>60</v>
      </c>
      <c r="D141" s="210"/>
      <c r="E141" s="210"/>
      <c r="F141" s="210"/>
      <c r="G141" s="210"/>
      <c r="H141" s="210"/>
      <c r="I141" s="210"/>
      <c r="J141" s="210"/>
      <c r="K141" s="210"/>
      <c r="L141" s="210">
        <v>240</v>
      </c>
      <c r="M141" s="211"/>
    </row>
    <row r="142" spans="1:13" ht="12.75">
      <c r="A142" s="209">
        <v>521120</v>
      </c>
      <c r="B142" s="211"/>
      <c r="C142" s="211"/>
      <c r="D142" s="210">
        <v>500</v>
      </c>
      <c r="E142" s="210">
        <v>100</v>
      </c>
      <c r="F142" s="210"/>
      <c r="G142" s="210"/>
      <c r="H142" s="210"/>
      <c r="I142" s="210"/>
      <c r="J142" s="210"/>
      <c r="K142" s="210"/>
      <c r="L142" s="210">
        <v>1000</v>
      </c>
      <c r="M142" s="211"/>
    </row>
    <row r="143" spans="1:13" ht="12.75">
      <c r="A143" s="209">
        <v>522130</v>
      </c>
      <c r="B143" s="210"/>
      <c r="C143" s="210"/>
      <c r="D143" s="210">
        <v>50</v>
      </c>
      <c r="E143" s="210">
        <v>50</v>
      </c>
      <c r="F143" s="210"/>
      <c r="G143" s="210"/>
      <c r="H143" s="210"/>
      <c r="I143" s="210"/>
      <c r="J143" s="210"/>
      <c r="K143" s="210"/>
      <c r="L143" s="210">
        <v>500</v>
      </c>
      <c r="M143" s="211"/>
    </row>
    <row r="144" spans="1:13" ht="12.75">
      <c r="A144" s="209">
        <v>522140</v>
      </c>
      <c r="B144" s="210"/>
      <c r="C144" s="210"/>
      <c r="D144" s="210">
        <v>50</v>
      </c>
      <c r="E144" s="210">
        <v>50</v>
      </c>
      <c r="F144" s="210"/>
      <c r="G144" s="210"/>
      <c r="H144" s="210"/>
      <c r="I144" s="210"/>
      <c r="J144" s="210"/>
      <c r="K144" s="210"/>
      <c r="L144" s="210">
        <v>500</v>
      </c>
      <c r="M144" s="211"/>
    </row>
    <row r="145" spans="1:13" ht="12.75">
      <c r="A145" s="209">
        <v>523150</v>
      </c>
      <c r="B145" s="210"/>
      <c r="C145" s="210"/>
      <c r="D145" s="210">
        <v>10</v>
      </c>
      <c r="E145" s="210">
        <v>10</v>
      </c>
      <c r="F145" s="210"/>
      <c r="G145" s="210"/>
      <c r="H145" s="210"/>
      <c r="I145" s="210"/>
      <c r="J145" s="210"/>
      <c r="K145" s="210"/>
      <c r="L145" s="210">
        <v>100</v>
      </c>
      <c r="M145" s="211"/>
    </row>
    <row r="146" spans="1:13" ht="12.75">
      <c r="A146" s="209">
        <v>531160</v>
      </c>
      <c r="B146" s="210"/>
      <c r="C146" s="210"/>
      <c r="D146" s="210"/>
      <c r="E146" s="210"/>
      <c r="F146" s="210">
        <v>10</v>
      </c>
      <c r="G146" s="210">
        <v>50</v>
      </c>
      <c r="H146" s="210"/>
      <c r="I146" s="210"/>
      <c r="J146" s="210"/>
      <c r="K146" s="210"/>
      <c r="L146" s="210">
        <v>100</v>
      </c>
      <c r="M146" s="211"/>
    </row>
    <row r="147" spans="1:13" ht="12.75">
      <c r="A147" s="209">
        <v>531170</v>
      </c>
      <c r="B147" s="210"/>
      <c r="C147" s="210"/>
      <c r="D147" s="210"/>
      <c r="E147" s="210"/>
      <c r="F147" s="210">
        <v>10</v>
      </c>
      <c r="G147" s="210">
        <v>50</v>
      </c>
      <c r="H147" s="210"/>
      <c r="I147" s="210"/>
      <c r="J147" s="210"/>
      <c r="K147" s="210"/>
      <c r="L147" s="210">
        <v>100</v>
      </c>
      <c r="M147" s="211"/>
    </row>
    <row r="148" spans="1:13" ht="12.75">
      <c r="A148" s="209">
        <v>532180</v>
      </c>
      <c r="B148" s="210"/>
      <c r="C148" s="210"/>
      <c r="D148" s="210"/>
      <c r="E148" s="210"/>
      <c r="F148" s="210">
        <v>60</v>
      </c>
      <c r="G148" s="210">
        <v>20</v>
      </c>
      <c r="H148" s="210"/>
      <c r="I148" s="210"/>
      <c r="J148" s="210"/>
      <c r="K148" s="210"/>
      <c r="L148" s="210">
        <v>100</v>
      </c>
      <c r="M148" s="211"/>
    </row>
    <row r="149" spans="1:13" ht="12.75">
      <c r="A149" s="209">
        <v>533190</v>
      </c>
      <c r="B149" s="210"/>
      <c r="C149" s="210"/>
      <c r="D149" s="210"/>
      <c r="E149" s="210"/>
      <c r="F149" s="210">
        <v>20</v>
      </c>
      <c r="G149" s="210">
        <v>100</v>
      </c>
      <c r="H149" s="210"/>
      <c r="I149" s="210"/>
      <c r="J149" s="210"/>
      <c r="K149" s="210"/>
      <c r="L149" s="210">
        <v>200</v>
      </c>
      <c r="M149" s="211"/>
    </row>
    <row r="150" spans="1:13" ht="12.75">
      <c r="A150" s="209">
        <v>533200</v>
      </c>
      <c r="B150" s="210"/>
      <c r="C150" s="210"/>
      <c r="D150" s="210"/>
      <c r="E150" s="210"/>
      <c r="F150" s="210">
        <v>20</v>
      </c>
      <c r="G150" s="210">
        <v>20</v>
      </c>
      <c r="H150" s="210"/>
      <c r="I150" s="210"/>
      <c r="J150" s="210"/>
      <c r="K150" s="210"/>
      <c r="L150" s="210">
        <v>100</v>
      </c>
      <c r="M150" s="211"/>
    </row>
    <row r="151" spans="1:13" ht="12.75">
      <c r="A151" s="209">
        <v>541210</v>
      </c>
      <c r="B151" s="210"/>
      <c r="C151" s="210"/>
      <c r="D151" s="210"/>
      <c r="E151" s="210"/>
      <c r="F151" s="210"/>
      <c r="G151" s="210"/>
      <c r="H151" s="210">
        <v>100</v>
      </c>
      <c r="I151" s="210">
        <v>200</v>
      </c>
      <c r="J151" s="210"/>
      <c r="K151" s="210"/>
      <c r="L151" s="210">
        <v>20</v>
      </c>
      <c r="M151" s="211"/>
    </row>
    <row r="152" spans="1:13" ht="12.75">
      <c r="A152" s="209">
        <v>541220</v>
      </c>
      <c r="B152" s="210"/>
      <c r="C152" s="210"/>
      <c r="D152" s="210"/>
      <c r="E152" s="210"/>
      <c r="F152" s="210"/>
      <c r="G152" s="210"/>
      <c r="H152" s="210">
        <v>50</v>
      </c>
      <c r="I152" s="210">
        <v>10</v>
      </c>
      <c r="J152" s="210"/>
      <c r="K152" s="210"/>
      <c r="L152" s="210">
        <v>100</v>
      </c>
      <c r="M152" s="211"/>
    </row>
    <row r="153" spans="1:13" ht="12.75">
      <c r="A153" s="209">
        <v>542230</v>
      </c>
      <c r="B153" s="210"/>
      <c r="C153" s="210"/>
      <c r="D153" s="210"/>
      <c r="E153" s="210"/>
      <c r="F153" s="210"/>
      <c r="G153" s="210"/>
      <c r="H153" s="210">
        <v>60</v>
      </c>
      <c r="I153" s="210">
        <v>12</v>
      </c>
      <c r="J153" s="210"/>
      <c r="K153" s="210"/>
      <c r="L153" s="210">
        <v>60</v>
      </c>
      <c r="M153" s="211"/>
    </row>
    <row r="154" spans="1:13" ht="12.75">
      <c r="A154" s="209">
        <v>542240</v>
      </c>
      <c r="B154" s="210"/>
      <c r="C154" s="210"/>
      <c r="D154" s="210"/>
      <c r="E154" s="210"/>
      <c r="F154" s="210"/>
      <c r="G154" s="210"/>
      <c r="H154" s="210">
        <v>12</v>
      </c>
      <c r="I154" s="210">
        <v>60</v>
      </c>
      <c r="J154" s="210"/>
      <c r="K154" s="210"/>
      <c r="L154" s="210">
        <v>120</v>
      </c>
      <c r="M154" s="211"/>
    </row>
    <row r="155" spans="1:13" ht="12.75">
      <c r="A155" s="209">
        <v>542250</v>
      </c>
      <c r="B155" s="210"/>
      <c r="C155" s="210"/>
      <c r="D155" s="210"/>
      <c r="E155" s="210"/>
      <c r="F155" s="210"/>
      <c r="G155" s="210"/>
      <c r="H155" s="210">
        <v>100</v>
      </c>
      <c r="I155" s="210">
        <v>100</v>
      </c>
      <c r="J155" s="210"/>
      <c r="K155" s="210"/>
      <c r="L155" s="210">
        <v>500</v>
      </c>
      <c r="M155" s="211"/>
    </row>
    <row r="156" spans="1:13" ht="12.75">
      <c r="A156" s="209">
        <v>542255</v>
      </c>
      <c r="B156" s="210"/>
      <c r="C156" s="210"/>
      <c r="D156" s="210"/>
      <c r="E156" s="210"/>
      <c r="F156" s="210"/>
      <c r="G156" s="210"/>
      <c r="H156" s="210">
        <v>200</v>
      </c>
      <c r="I156" s="210">
        <v>200</v>
      </c>
      <c r="J156" s="210"/>
      <c r="K156" s="210"/>
      <c r="L156" s="210">
        <v>600</v>
      </c>
      <c r="M156" s="211"/>
    </row>
    <row r="157" spans="1:13" ht="12.75">
      <c r="A157" s="209">
        <v>543260</v>
      </c>
      <c r="B157" s="210"/>
      <c r="C157" s="210"/>
      <c r="D157" s="210"/>
      <c r="E157" s="210"/>
      <c r="F157" s="210"/>
      <c r="G157" s="210"/>
      <c r="H157" s="210">
        <v>60</v>
      </c>
      <c r="I157" s="210">
        <v>120</v>
      </c>
      <c r="J157" s="210"/>
      <c r="K157" s="210"/>
      <c r="L157" s="210">
        <v>12</v>
      </c>
      <c r="M157" s="211"/>
    </row>
    <row r="158" spans="1:13" ht="12.75">
      <c r="A158" s="209">
        <v>543270</v>
      </c>
      <c r="B158" s="210"/>
      <c r="C158" s="210"/>
      <c r="D158" s="210"/>
      <c r="E158" s="210"/>
      <c r="F158" s="210"/>
      <c r="G158" s="210"/>
      <c r="H158" s="210">
        <v>30</v>
      </c>
      <c r="I158" s="210">
        <v>30</v>
      </c>
      <c r="J158" s="210"/>
      <c r="K158" s="210"/>
      <c r="L158" s="210">
        <v>10</v>
      </c>
      <c r="M158" s="211"/>
    </row>
    <row r="159" spans="1:13" ht="12.75">
      <c r="A159" s="209">
        <v>551280</v>
      </c>
      <c r="B159" s="210"/>
      <c r="C159" s="210"/>
      <c r="D159" s="210"/>
      <c r="E159" s="210"/>
      <c r="F159" s="210"/>
      <c r="G159" s="210"/>
      <c r="H159" s="210"/>
      <c r="I159" s="210"/>
      <c r="J159" s="210">
        <v>250</v>
      </c>
      <c r="K159" s="210">
        <v>50</v>
      </c>
      <c r="L159" s="210">
        <v>500</v>
      </c>
      <c r="M159" s="211"/>
    </row>
    <row r="160" spans="1:13" ht="12.75">
      <c r="A160" s="209">
        <v>551290</v>
      </c>
      <c r="B160" s="210"/>
      <c r="C160" s="210"/>
      <c r="D160" s="210"/>
      <c r="E160" s="210"/>
      <c r="F160" s="210"/>
      <c r="G160" s="210"/>
      <c r="H160" s="210"/>
      <c r="I160" s="210"/>
      <c r="J160" s="210">
        <v>250</v>
      </c>
      <c r="K160" s="210">
        <v>50</v>
      </c>
      <c r="L160" s="210">
        <v>500</v>
      </c>
      <c r="M160" s="211"/>
    </row>
    <row r="161" spans="1:13" ht="12.75">
      <c r="A161" s="209">
        <v>552300</v>
      </c>
      <c r="B161" s="210"/>
      <c r="C161" s="210"/>
      <c r="D161" s="210"/>
      <c r="E161" s="210"/>
      <c r="F161" s="210"/>
      <c r="G161" s="210"/>
      <c r="H161" s="210"/>
      <c r="I161" s="210"/>
      <c r="J161" s="210">
        <v>60</v>
      </c>
      <c r="K161" s="210">
        <v>60</v>
      </c>
      <c r="L161" s="210">
        <v>120</v>
      </c>
      <c r="M161" s="211"/>
    </row>
    <row r="162" spans="1:13" ht="12.75">
      <c r="A162" s="209">
        <v>552310</v>
      </c>
      <c r="B162" s="210"/>
      <c r="C162" s="210"/>
      <c r="D162" s="210"/>
      <c r="E162" s="210"/>
      <c r="F162" s="210"/>
      <c r="G162" s="210"/>
      <c r="H162" s="210"/>
      <c r="I162" s="210"/>
      <c r="J162" s="210">
        <v>36</v>
      </c>
      <c r="K162" s="210">
        <v>48</v>
      </c>
      <c r="L162" s="210">
        <v>48</v>
      </c>
      <c r="M162" s="211"/>
    </row>
    <row r="163" spans="1:13" ht="15.75">
      <c r="A163" s="212" t="s">
        <v>249</v>
      </c>
      <c r="B163" s="213">
        <v>21001</v>
      </c>
      <c r="C163" s="213">
        <v>21002</v>
      </c>
      <c r="D163" s="213">
        <v>22003</v>
      </c>
      <c r="E163" s="213">
        <v>22004</v>
      </c>
      <c r="F163" s="213">
        <v>23005</v>
      </c>
      <c r="G163" s="213">
        <v>23006</v>
      </c>
      <c r="H163" s="213">
        <v>24007</v>
      </c>
      <c r="I163" s="213">
        <v>24008</v>
      </c>
      <c r="J163" s="213">
        <v>25009</v>
      </c>
      <c r="K163" s="213">
        <v>25010</v>
      </c>
      <c r="L163" s="213">
        <v>26011</v>
      </c>
      <c r="M163" s="213">
        <v>21012</v>
      </c>
    </row>
    <row r="164" spans="1:13" ht="12.75">
      <c r="A164" s="214">
        <v>511010</v>
      </c>
      <c r="B164" s="215">
        <v>0.12</v>
      </c>
      <c r="C164" s="215">
        <v>0.14</v>
      </c>
      <c r="D164" s="215"/>
      <c r="E164" s="215"/>
      <c r="F164" s="215"/>
      <c r="G164" s="215"/>
      <c r="H164" s="215"/>
      <c r="I164" s="215"/>
      <c r="J164" s="215"/>
      <c r="K164" s="215"/>
      <c r="L164" s="215">
        <v>0.16</v>
      </c>
      <c r="M164" s="211"/>
    </row>
    <row r="165" spans="1:13" ht="12.75">
      <c r="A165" s="214">
        <v>511020</v>
      </c>
      <c r="B165" s="215">
        <v>0.11</v>
      </c>
      <c r="C165" s="215">
        <v>0.14</v>
      </c>
      <c r="D165" s="215"/>
      <c r="E165" s="215"/>
      <c r="F165" s="215"/>
      <c r="G165" s="215"/>
      <c r="H165" s="215"/>
      <c r="I165" s="215"/>
      <c r="J165" s="215"/>
      <c r="K165" s="215"/>
      <c r="L165" s="215">
        <v>0.18</v>
      </c>
      <c r="M165" s="211"/>
    </row>
    <row r="166" spans="1:13" ht="12.75">
      <c r="A166" s="214">
        <v>511030</v>
      </c>
      <c r="B166" s="215">
        <v>0.08</v>
      </c>
      <c r="C166" s="215">
        <v>0.14</v>
      </c>
      <c r="D166" s="215"/>
      <c r="E166" s="215"/>
      <c r="F166" s="215"/>
      <c r="G166" s="215"/>
      <c r="H166" s="215"/>
      <c r="I166" s="215"/>
      <c r="J166" s="215"/>
      <c r="K166" s="215"/>
      <c r="L166" s="215">
        <v>0.14</v>
      </c>
      <c r="M166" s="211"/>
    </row>
    <row r="167" spans="1:13" ht="12.75">
      <c r="A167" s="214">
        <v>512040</v>
      </c>
      <c r="B167" s="215">
        <v>0.06</v>
      </c>
      <c r="C167" s="215">
        <v>0.07</v>
      </c>
      <c r="D167" s="215"/>
      <c r="E167" s="215"/>
      <c r="F167" s="215"/>
      <c r="G167" s="215"/>
      <c r="H167" s="215"/>
      <c r="I167" s="215"/>
      <c r="J167" s="215"/>
      <c r="K167" s="215"/>
      <c r="L167" s="215">
        <v>0.11</v>
      </c>
      <c r="M167" s="211"/>
    </row>
    <row r="168" spans="1:13" ht="12.75">
      <c r="A168" s="214">
        <v>512050</v>
      </c>
      <c r="B168" s="215">
        <v>0.15</v>
      </c>
      <c r="C168" s="215">
        <v>0.18</v>
      </c>
      <c r="D168" s="215"/>
      <c r="E168" s="215"/>
      <c r="F168" s="215"/>
      <c r="G168" s="215"/>
      <c r="H168" s="215"/>
      <c r="I168" s="215"/>
      <c r="J168" s="215"/>
      <c r="K168" s="215"/>
      <c r="L168" s="215">
        <v>0.22</v>
      </c>
      <c r="M168" s="211"/>
    </row>
    <row r="169" spans="1:13" ht="12.75">
      <c r="A169" s="214">
        <v>512060</v>
      </c>
      <c r="B169" s="215">
        <v>0.1</v>
      </c>
      <c r="C169" s="215">
        <v>0.09</v>
      </c>
      <c r="D169" s="215"/>
      <c r="E169" s="215"/>
      <c r="F169" s="215"/>
      <c r="G169" s="215"/>
      <c r="H169" s="215"/>
      <c r="I169" s="215"/>
      <c r="J169" s="215"/>
      <c r="K169" s="215"/>
      <c r="L169" s="215">
        <v>0.06</v>
      </c>
      <c r="M169" s="211"/>
    </row>
    <row r="170" spans="1:13" ht="12.75">
      <c r="A170" s="214">
        <v>512065</v>
      </c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6">
        <v>0.1</v>
      </c>
    </row>
    <row r="171" spans="1:13" ht="12.75">
      <c r="A171" s="214">
        <v>512070</v>
      </c>
      <c r="B171" s="215">
        <v>0.15</v>
      </c>
      <c r="C171" s="215">
        <v>0.18</v>
      </c>
      <c r="D171" s="215"/>
      <c r="E171" s="215"/>
      <c r="F171" s="215"/>
      <c r="G171" s="215"/>
      <c r="H171" s="215"/>
      <c r="I171" s="215"/>
      <c r="J171" s="215"/>
      <c r="K171" s="215"/>
      <c r="L171" s="215">
        <v>0.21</v>
      </c>
      <c r="M171" s="211"/>
    </row>
    <row r="172" spans="1:13" ht="12.75">
      <c r="A172" s="214">
        <v>512075</v>
      </c>
      <c r="B172" s="215">
        <v>0.12</v>
      </c>
      <c r="C172" s="215">
        <v>0.16</v>
      </c>
      <c r="D172" s="215"/>
      <c r="E172" s="215"/>
      <c r="F172" s="215"/>
      <c r="G172" s="215"/>
      <c r="H172" s="215"/>
      <c r="I172" s="215"/>
      <c r="J172" s="215"/>
      <c r="K172" s="215"/>
      <c r="L172" s="215">
        <v>0.15</v>
      </c>
      <c r="M172" s="211"/>
    </row>
    <row r="173" spans="1:13" ht="12.75">
      <c r="A173" s="214">
        <v>512080</v>
      </c>
      <c r="B173" s="215">
        <v>0.12</v>
      </c>
      <c r="C173" s="215">
        <v>0.07</v>
      </c>
      <c r="D173" s="215"/>
      <c r="E173" s="215"/>
      <c r="F173" s="215"/>
      <c r="G173" s="215"/>
      <c r="H173" s="215"/>
      <c r="I173" s="215"/>
      <c r="J173" s="215"/>
      <c r="K173" s="215"/>
      <c r="L173" s="215">
        <v>0.09</v>
      </c>
      <c r="M173" s="211"/>
    </row>
    <row r="174" spans="1:13" ht="12.75">
      <c r="A174" s="214">
        <v>513090</v>
      </c>
      <c r="B174" s="215">
        <v>0.16</v>
      </c>
      <c r="C174" s="215">
        <v>0.22</v>
      </c>
      <c r="D174" s="215"/>
      <c r="E174" s="215"/>
      <c r="F174" s="215"/>
      <c r="G174" s="215"/>
      <c r="H174" s="215"/>
      <c r="I174" s="215"/>
      <c r="J174" s="215"/>
      <c r="K174" s="215"/>
      <c r="L174" s="215">
        <v>0.12</v>
      </c>
      <c r="M174" s="211"/>
    </row>
    <row r="175" spans="1:13" ht="12.75">
      <c r="A175" s="214">
        <v>514100</v>
      </c>
      <c r="B175" s="215">
        <v>0.15</v>
      </c>
      <c r="C175" s="215">
        <v>0.16</v>
      </c>
      <c r="D175" s="215"/>
      <c r="E175" s="215"/>
      <c r="F175" s="215"/>
      <c r="G175" s="215"/>
      <c r="H175" s="215"/>
      <c r="I175" s="215"/>
      <c r="J175" s="215"/>
      <c r="K175" s="215"/>
      <c r="L175" s="215">
        <v>0.18</v>
      </c>
      <c r="M175" s="211"/>
    </row>
    <row r="176" spans="1:13" ht="12.75">
      <c r="A176" s="214">
        <v>515110</v>
      </c>
      <c r="B176" s="215">
        <v>0.14</v>
      </c>
      <c r="C176" s="215">
        <v>0.1</v>
      </c>
      <c r="D176" s="215"/>
      <c r="E176" s="215"/>
      <c r="F176" s="215"/>
      <c r="G176" s="215"/>
      <c r="H176" s="215"/>
      <c r="I176" s="215"/>
      <c r="J176" s="215"/>
      <c r="K176" s="215"/>
      <c r="L176" s="215">
        <v>0.12</v>
      </c>
      <c r="M176" s="211"/>
    </row>
    <row r="177" spans="1:13" ht="12.75">
      <c r="A177" s="214">
        <v>521120</v>
      </c>
      <c r="B177" s="211"/>
      <c r="C177" s="211"/>
      <c r="D177" s="215">
        <v>0.16</v>
      </c>
      <c r="E177" s="215">
        <v>0.11</v>
      </c>
      <c r="F177" s="215"/>
      <c r="G177" s="215"/>
      <c r="H177" s="215"/>
      <c r="I177" s="215"/>
      <c r="J177" s="215"/>
      <c r="K177" s="215"/>
      <c r="L177" s="215">
        <v>0.14</v>
      </c>
      <c r="M177" s="211"/>
    </row>
    <row r="178" spans="1:13" ht="12.75">
      <c r="A178" s="214">
        <v>522130</v>
      </c>
      <c r="B178" s="215"/>
      <c r="C178" s="215"/>
      <c r="D178" s="215">
        <v>0.16</v>
      </c>
      <c r="E178" s="215">
        <v>0.11</v>
      </c>
      <c r="F178" s="215"/>
      <c r="G178" s="215"/>
      <c r="H178" s="215"/>
      <c r="I178" s="215"/>
      <c r="J178" s="215"/>
      <c r="K178" s="215"/>
      <c r="L178" s="215">
        <v>0.14</v>
      </c>
      <c r="M178" s="211"/>
    </row>
    <row r="179" spans="1:13" ht="12.75">
      <c r="A179" s="214">
        <v>522140</v>
      </c>
      <c r="B179" s="215"/>
      <c r="C179" s="215"/>
      <c r="D179" s="215">
        <v>0.08</v>
      </c>
      <c r="E179" s="215">
        <v>0.11</v>
      </c>
      <c r="F179" s="215"/>
      <c r="G179" s="215"/>
      <c r="H179" s="215"/>
      <c r="I179" s="215"/>
      <c r="J179" s="215"/>
      <c r="K179" s="215"/>
      <c r="L179" s="215">
        <v>0.15</v>
      </c>
      <c r="M179" s="211"/>
    </row>
    <row r="180" spans="1:13" ht="12.75">
      <c r="A180" s="214">
        <v>523150</v>
      </c>
      <c r="B180" s="215"/>
      <c r="C180" s="215"/>
      <c r="D180" s="215">
        <v>0.16</v>
      </c>
      <c r="E180" s="215">
        <v>0.06</v>
      </c>
      <c r="F180" s="215"/>
      <c r="G180" s="215"/>
      <c r="H180" s="215"/>
      <c r="I180" s="215"/>
      <c r="J180" s="215"/>
      <c r="K180" s="215"/>
      <c r="L180" s="215">
        <v>0.14</v>
      </c>
      <c r="M180" s="211"/>
    </row>
    <row r="181" spans="1:13" ht="12.75">
      <c r="A181" s="214">
        <v>531160</v>
      </c>
      <c r="B181" s="215"/>
      <c r="C181" s="215"/>
      <c r="D181" s="215"/>
      <c r="E181" s="215"/>
      <c r="F181" s="215">
        <v>0.16</v>
      </c>
      <c r="G181" s="215">
        <v>0.09</v>
      </c>
      <c r="H181" s="215"/>
      <c r="I181" s="215"/>
      <c r="J181" s="215"/>
      <c r="K181" s="215"/>
      <c r="L181" s="215">
        <v>0.22</v>
      </c>
      <c r="M181" s="211"/>
    </row>
    <row r="182" spans="1:13" ht="12.75">
      <c r="A182" s="214">
        <v>531170</v>
      </c>
      <c r="B182" s="215"/>
      <c r="C182" s="215"/>
      <c r="D182" s="215"/>
      <c r="E182" s="215"/>
      <c r="F182" s="215">
        <v>0.16</v>
      </c>
      <c r="G182" s="215">
        <v>0.09</v>
      </c>
      <c r="H182" s="215"/>
      <c r="I182" s="215"/>
      <c r="J182" s="215"/>
      <c r="K182" s="215"/>
      <c r="L182" s="215">
        <v>0.22</v>
      </c>
      <c r="M182" s="211"/>
    </row>
    <row r="183" spans="1:13" ht="12.75">
      <c r="A183" s="214">
        <v>532180</v>
      </c>
      <c r="B183" s="215"/>
      <c r="C183" s="215"/>
      <c r="D183" s="215"/>
      <c r="E183" s="215"/>
      <c r="F183" s="215">
        <v>0.14</v>
      </c>
      <c r="G183" s="215">
        <v>0.07</v>
      </c>
      <c r="H183" s="215"/>
      <c r="I183" s="215"/>
      <c r="J183" s="215"/>
      <c r="K183" s="215"/>
      <c r="L183" s="215">
        <v>0.14</v>
      </c>
      <c r="M183" s="211"/>
    </row>
    <row r="184" spans="1:13" ht="12.75">
      <c r="A184" s="214">
        <v>533190</v>
      </c>
      <c r="B184" s="215"/>
      <c r="C184" s="215"/>
      <c r="D184" s="215"/>
      <c r="E184" s="215"/>
      <c r="F184" s="215">
        <v>0.14</v>
      </c>
      <c r="G184" s="215">
        <v>0.18</v>
      </c>
      <c r="H184" s="215"/>
      <c r="I184" s="215"/>
      <c r="J184" s="215"/>
      <c r="K184" s="215"/>
      <c r="L184" s="215">
        <v>0.08</v>
      </c>
      <c r="M184" s="211"/>
    </row>
    <row r="185" spans="1:13" ht="12.75">
      <c r="A185" s="214">
        <v>533200</v>
      </c>
      <c r="B185" s="215"/>
      <c r="C185" s="215"/>
      <c r="D185" s="215"/>
      <c r="E185" s="215"/>
      <c r="F185" s="215">
        <v>0.14</v>
      </c>
      <c r="G185" s="215">
        <v>0.16</v>
      </c>
      <c r="H185" s="215"/>
      <c r="I185" s="215"/>
      <c r="J185" s="215"/>
      <c r="K185" s="215"/>
      <c r="L185" s="215">
        <v>0.1</v>
      </c>
      <c r="M185" s="211"/>
    </row>
    <row r="186" spans="1:13" ht="12.75">
      <c r="A186" s="214">
        <v>541210</v>
      </c>
      <c r="B186" s="215"/>
      <c r="C186" s="215"/>
      <c r="D186" s="215"/>
      <c r="E186" s="215"/>
      <c r="F186" s="215"/>
      <c r="G186" s="215"/>
      <c r="H186" s="215">
        <v>0.16</v>
      </c>
      <c r="I186" s="215">
        <v>0.16</v>
      </c>
      <c r="J186" s="215"/>
      <c r="K186" s="215"/>
      <c r="L186" s="215">
        <v>0.19</v>
      </c>
      <c r="M186" s="211"/>
    </row>
    <row r="187" spans="1:13" ht="12.75">
      <c r="A187" s="214">
        <v>541220</v>
      </c>
      <c r="B187" s="215"/>
      <c r="C187" s="215"/>
      <c r="D187" s="215"/>
      <c r="E187" s="215"/>
      <c r="F187" s="215"/>
      <c r="G187" s="215"/>
      <c r="H187" s="215">
        <v>0.05</v>
      </c>
      <c r="I187" s="215">
        <v>0.15</v>
      </c>
      <c r="J187" s="215"/>
      <c r="K187" s="215"/>
      <c r="L187" s="215">
        <v>0.1</v>
      </c>
      <c r="M187" s="211"/>
    </row>
    <row r="188" spans="1:13" ht="12.75">
      <c r="A188" s="214">
        <v>542230</v>
      </c>
      <c r="B188" s="215"/>
      <c r="C188" s="215"/>
      <c r="D188" s="215"/>
      <c r="E188" s="215"/>
      <c r="F188" s="215"/>
      <c r="G188" s="215"/>
      <c r="H188" s="215">
        <v>0.18</v>
      </c>
      <c r="I188" s="215">
        <v>0.15</v>
      </c>
      <c r="J188" s="215"/>
      <c r="K188" s="215"/>
      <c r="L188" s="215">
        <v>0.12</v>
      </c>
      <c r="M188" s="211"/>
    </row>
    <row r="189" spans="1:13" ht="12.75">
      <c r="A189" s="214">
        <v>542240</v>
      </c>
      <c r="B189" s="215"/>
      <c r="C189" s="215"/>
      <c r="D189" s="215"/>
      <c r="E189" s="215"/>
      <c r="F189" s="215"/>
      <c r="G189" s="215"/>
      <c r="H189" s="215">
        <v>0.18</v>
      </c>
      <c r="I189" s="215">
        <v>0.19</v>
      </c>
      <c r="J189" s="215"/>
      <c r="K189" s="215"/>
      <c r="L189" s="215">
        <v>0.15</v>
      </c>
      <c r="M189" s="211"/>
    </row>
    <row r="190" spans="1:13" ht="12.75">
      <c r="A190" s="214">
        <v>542250</v>
      </c>
      <c r="B190" s="215"/>
      <c r="C190" s="215"/>
      <c r="D190" s="215"/>
      <c r="E190" s="215"/>
      <c r="F190" s="215"/>
      <c r="G190" s="215"/>
      <c r="H190" s="215">
        <v>0.19</v>
      </c>
      <c r="I190" s="215">
        <v>0.15</v>
      </c>
      <c r="J190" s="215"/>
      <c r="K190" s="215"/>
      <c r="L190" s="215">
        <v>0.15</v>
      </c>
      <c r="M190" s="211"/>
    </row>
    <row r="191" spans="1:13" ht="12.75">
      <c r="A191" s="214">
        <v>542255</v>
      </c>
      <c r="B191" s="215"/>
      <c r="C191" s="215"/>
      <c r="D191" s="215"/>
      <c r="E191" s="215"/>
      <c r="F191" s="215"/>
      <c r="G191" s="215"/>
      <c r="H191" s="215">
        <v>0.13</v>
      </c>
      <c r="I191" s="215">
        <v>0.14</v>
      </c>
      <c r="J191" s="215"/>
      <c r="K191" s="215"/>
      <c r="L191" s="215">
        <v>0.16</v>
      </c>
      <c r="M191" s="211"/>
    </row>
    <row r="192" spans="1:13" ht="12.75">
      <c r="A192" s="214">
        <v>543260</v>
      </c>
      <c r="B192" s="215"/>
      <c r="C192" s="215"/>
      <c r="D192" s="215"/>
      <c r="E192" s="215"/>
      <c r="F192" s="215"/>
      <c r="G192" s="215"/>
      <c r="H192" s="215">
        <v>0.17</v>
      </c>
      <c r="I192" s="215">
        <v>0.14</v>
      </c>
      <c r="J192" s="215"/>
      <c r="K192" s="215"/>
      <c r="L192" s="215">
        <v>0.15</v>
      </c>
      <c r="M192" s="211"/>
    </row>
    <row r="193" spans="1:13" ht="12.75">
      <c r="A193" s="214">
        <v>543270</v>
      </c>
      <c r="B193" s="215"/>
      <c r="C193" s="215"/>
      <c r="D193" s="215"/>
      <c r="E193" s="215"/>
      <c r="F193" s="215"/>
      <c r="G193" s="215"/>
      <c r="H193" s="215">
        <v>0.18</v>
      </c>
      <c r="I193" s="215">
        <v>0.14</v>
      </c>
      <c r="J193" s="215"/>
      <c r="K193" s="215"/>
      <c r="L193" s="215">
        <v>0.15</v>
      </c>
      <c r="M193" s="211"/>
    </row>
    <row r="194" spans="1:13" ht="12.75">
      <c r="A194" s="214">
        <v>551280</v>
      </c>
      <c r="B194" s="215"/>
      <c r="C194" s="215"/>
      <c r="D194" s="215"/>
      <c r="E194" s="215"/>
      <c r="F194" s="215"/>
      <c r="G194" s="215"/>
      <c r="H194" s="215"/>
      <c r="I194" s="215"/>
      <c r="J194" s="215">
        <v>0.15</v>
      </c>
      <c r="K194" s="215">
        <v>0.18</v>
      </c>
      <c r="L194" s="215">
        <v>0.22</v>
      </c>
      <c r="M194" s="211"/>
    </row>
    <row r="195" spans="1:13" ht="12.75">
      <c r="A195" s="214">
        <v>551290</v>
      </c>
      <c r="B195" s="215"/>
      <c r="C195" s="215"/>
      <c r="D195" s="215"/>
      <c r="E195" s="215"/>
      <c r="F195" s="215"/>
      <c r="G195" s="215"/>
      <c r="H195" s="215"/>
      <c r="I195" s="215"/>
      <c r="J195" s="215">
        <v>0.12</v>
      </c>
      <c r="K195" s="215">
        <v>0.15</v>
      </c>
      <c r="L195" s="215">
        <v>0.19</v>
      </c>
      <c r="M195" s="211"/>
    </row>
    <row r="196" spans="1:13" ht="12.75">
      <c r="A196" s="214">
        <v>552300</v>
      </c>
      <c r="B196" s="215"/>
      <c r="C196" s="215"/>
      <c r="D196" s="215"/>
      <c r="E196" s="215"/>
      <c r="F196" s="215"/>
      <c r="G196" s="215"/>
      <c r="H196" s="215"/>
      <c r="I196" s="215"/>
      <c r="J196" s="215">
        <v>0.15</v>
      </c>
      <c r="K196" s="215">
        <v>0.1</v>
      </c>
      <c r="L196" s="215">
        <v>0.08</v>
      </c>
      <c r="M196" s="211"/>
    </row>
    <row r="197" spans="1:13" ht="12.75">
      <c r="A197" s="214">
        <v>552310</v>
      </c>
      <c r="B197" s="215"/>
      <c r="C197" s="215"/>
      <c r="D197" s="215"/>
      <c r="E197" s="215"/>
      <c r="F197" s="215"/>
      <c r="G197" s="215"/>
      <c r="H197" s="215"/>
      <c r="I197" s="215"/>
      <c r="J197" s="215">
        <v>0.1</v>
      </c>
      <c r="K197" s="215">
        <v>0.09</v>
      </c>
      <c r="L197" s="215">
        <v>0.06</v>
      </c>
      <c r="M197" s="211"/>
    </row>
    <row r="198" spans="1:13" ht="15.75">
      <c r="A198" s="390" t="s">
        <v>352</v>
      </c>
      <c r="B198" s="391">
        <v>21001</v>
      </c>
      <c r="C198" s="391">
        <v>21002</v>
      </c>
      <c r="D198" s="391">
        <v>22003</v>
      </c>
      <c r="E198" s="391">
        <v>22004</v>
      </c>
      <c r="F198" s="391">
        <v>23005</v>
      </c>
      <c r="G198" s="391">
        <v>23006</v>
      </c>
      <c r="H198" s="391">
        <v>24007</v>
      </c>
      <c r="I198" s="391">
        <v>24008</v>
      </c>
      <c r="J198" s="391">
        <v>25009</v>
      </c>
      <c r="K198" s="391">
        <v>25010</v>
      </c>
      <c r="L198" s="391">
        <v>26011</v>
      </c>
      <c r="M198" s="391">
        <v>21012</v>
      </c>
    </row>
    <row r="199" spans="1:13" ht="12.75">
      <c r="A199" s="392">
        <v>511010</v>
      </c>
      <c r="B199" s="393">
        <v>12350</v>
      </c>
      <c r="C199" s="393">
        <v>400</v>
      </c>
      <c r="D199" s="393"/>
      <c r="E199" s="393"/>
      <c r="F199" s="393"/>
      <c r="G199" s="393"/>
      <c r="H199" s="393"/>
      <c r="I199" s="393"/>
      <c r="J199" s="393"/>
      <c r="K199" s="393"/>
      <c r="L199" s="393">
        <v>432500</v>
      </c>
      <c r="M199" s="393"/>
    </row>
    <row r="200" spans="1:13" ht="12.75">
      <c r="A200" s="392">
        <v>511020</v>
      </c>
      <c r="B200" s="393">
        <v>12360</v>
      </c>
      <c r="C200" s="393">
        <v>410</v>
      </c>
      <c r="D200" s="393"/>
      <c r="E200" s="393"/>
      <c r="F200" s="393"/>
      <c r="G200" s="393"/>
      <c r="H200" s="393"/>
      <c r="I200" s="393"/>
      <c r="J200" s="393"/>
      <c r="K200" s="393"/>
      <c r="L200" s="393">
        <v>432510</v>
      </c>
      <c r="M200" s="393"/>
    </row>
    <row r="201" spans="1:13" ht="12.75">
      <c r="A201" s="392">
        <v>511030</v>
      </c>
      <c r="B201" s="393">
        <v>12370</v>
      </c>
      <c r="C201" s="393">
        <v>420</v>
      </c>
      <c r="D201" s="393"/>
      <c r="E201" s="393"/>
      <c r="F201" s="393"/>
      <c r="G201" s="393"/>
      <c r="H201" s="393"/>
      <c r="I201" s="393"/>
      <c r="J201" s="393"/>
      <c r="K201" s="393"/>
      <c r="L201" s="393">
        <v>432520</v>
      </c>
      <c r="M201" s="393"/>
    </row>
    <row r="202" spans="1:13" ht="12.75">
      <c r="A202" s="392">
        <v>512040</v>
      </c>
      <c r="B202" s="393">
        <v>12380</v>
      </c>
      <c r="C202" s="393">
        <v>430</v>
      </c>
      <c r="D202" s="393"/>
      <c r="E202" s="393"/>
      <c r="F202" s="393"/>
      <c r="G202" s="393"/>
      <c r="H202" s="393"/>
      <c r="I202" s="393"/>
      <c r="J202" s="393"/>
      <c r="K202" s="393"/>
      <c r="L202" s="393">
        <v>432530</v>
      </c>
      <c r="M202" s="393"/>
    </row>
    <row r="203" spans="1:13" ht="12.75">
      <c r="A203" s="392">
        <v>512050</v>
      </c>
      <c r="B203" s="393">
        <v>12390</v>
      </c>
      <c r="C203" s="393">
        <v>440</v>
      </c>
      <c r="D203" s="393"/>
      <c r="E203" s="393"/>
      <c r="F203" s="393"/>
      <c r="G203" s="393"/>
      <c r="H203" s="393"/>
      <c r="I203" s="393"/>
      <c r="J203" s="393"/>
      <c r="K203" s="393"/>
      <c r="L203" s="393">
        <v>432540</v>
      </c>
      <c r="M203" s="393"/>
    </row>
    <row r="204" spans="1:13" ht="12.75">
      <c r="A204" s="392">
        <v>512060</v>
      </c>
      <c r="B204" s="393">
        <v>12400</v>
      </c>
      <c r="C204" s="393">
        <v>450</v>
      </c>
      <c r="D204" s="393"/>
      <c r="E204" s="393"/>
      <c r="F204" s="393"/>
      <c r="G204" s="393"/>
      <c r="H204" s="393"/>
      <c r="I204" s="393"/>
      <c r="J204" s="393"/>
      <c r="K204" s="393"/>
      <c r="L204" s="393">
        <v>432550</v>
      </c>
      <c r="M204" s="393"/>
    </row>
    <row r="205" spans="1:13" ht="12.75">
      <c r="A205" s="392">
        <v>512065</v>
      </c>
      <c r="B205" s="393"/>
      <c r="C205" s="393"/>
      <c r="D205" s="393"/>
      <c r="E205" s="393"/>
      <c r="F205" s="393"/>
      <c r="G205" s="393"/>
      <c r="H205" s="393"/>
      <c r="I205" s="393"/>
      <c r="J205" s="393"/>
      <c r="K205" s="393"/>
      <c r="L205" s="393"/>
      <c r="M205" s="393">
        <v>55.95</v>
      </c>
    </row>
    <row r="206" spans="1:13" ht="12.75">
      <c r="A206" s="392">
        <v>512070</v>
      </c>
      <c r="B206" s="393">
        <v>22510</v>
      </c>
      <c r="C206" s="393">
        <v>800</v>
      </c>
      <c r="D206" s="393"/>
      <c r="E206" s="393"/>
      <c r="F206" s="393"/>
      <c r="G206" s="393"/>
      <c r="H206" s="393"/>
      <c r="I206" s="393"/>
      <c r="J206" s="393"/>
      <c r="K206" s="393"/>
      <c r="L206" s="393">
        <v>432600</v>
      </c>
      <c r="M206" s="393"/>
    </row>
    <row r="207" spans="1:13" ht="12.75">
      <c r="A207" s="392">
        <v>512075</v>
      </c>
      <c r="B207" s="393">
        <v>22520</v>
      </c>
      <c r="C207" s="393">
        <v>810</v>
      </c>
      <c r="D207" s="393"/>
      <c r="E207" s="393"/>
      <c r="F207" s="393"/>
      <c r="G207" s="393"/>
      <c r="H207" s="393"/>
      <c r="I207" s="393"/>
      <c r="J207" s="393"/>
      <c r="K207" s="393"/>
      <c r="L207" s="393">
        <v>432605</v>
      </c>
      <c r="M207" s="393"/>
    </row>
    <row r="208" spans="1:13" ht="12.75">
      <c r="A208" s="392">
        <v>512080</v>
      </c>
      <c r="B208" s="393">
        <v>22530</v>
      </c>
      <c r="C208" s="393">
        <v>820</v>
      </c>
      <c r="D208" s="393"/>
      <c r="E208" s="393"/>
      <c r="F208" s="393"/>
      <c r="G208" s="393"/>
      <c r="H208" s="393"/>
      <c r="I208" s="393"/>
      <c r="J208" s="393"/>
      <c r="K208" s="393"/>
      <c r="L208" s="393">
        <v>432610</v>
      </c>
      <c r="M208" s="393"/>
    </row>
    <row r="209" spans="1:13" ht="12.75">
      <c r="A209" s="392">
        <v>513090</v>
      </c>
      <c r="B209" s="393">
        <v>22540</v>
      </c>
      <c r="C209" s="393">
        <v>830</v>
      </c>
      <c r="D209" s="393"/>
      <c r="E209" s="393"/>
      <c r="F209" s="393"/>
      <c r="G209" s="393"/>
      <c r="H209" s="393"/>
      <c r="I209" s="393"/>
      <c r="J209" s="393"/>
      <c r="K209" s="393"/>
      <c r="L209" s="393">
        <v>432615</v>
      </c>
      <c r="M209" s="393"/>
    </row>
    <row r="210" spans="1:13" ht="12.75">
      <c r="A210" s="392">
        <v>514100</v>
      </c>
      <c r="B210" s="393">
        <v>22550</v>
      </c>
      <c r="C210" s="393">
        <v>840</v>
      </c>
      <c r="D210" s="393"/>
      <c r="E210" s="393"/>
      <c r="F210" s="393"/>
      <c r="G210" s="393"/>
      <c r="H210" s="393"/>
      <c r="I210" s="393"/>
      <c r="J210" s="393"/>
      <c r="K210" s="393"/>
      <c r="L210" s="393">
        <v>432620</v>
      </c>
      <c r="M210" s="393"/>
    </row>
    <row r="211" spans="1:13" ht="12.75">
      <c r="A211" s="392">
        <v>515110</v>
      </c>
      <c r="B211" s="393">
        <v>22560</v>
      </c>
      <c r="C211" s="393">
        <v>850</v>
      </c>
      <c r="D211" s="393"/>
      <c r="E211" s="393"/>
      <c r="F211" s="393"/>
      <c r="G211" s="393"/>
      <c r="H211" s="393"/>
      <c r="I211" s="393"/>
      <c r="J211" s="393"/>
      <c r="K211" s="393"/>
      <c r="L211" s="393">
        <v>432625</v>
      </c>
      <c r="M211" s="393"/>
    </row>
    <row r="212" spans="1:13" ht="12.75">
      <c r="A212" s="392">
        <v>521120</v>
      </c>
      <c r="B212" s="393"/>
      <c r="C212" s="393"/>
      <c r="D212" s="393">
        <v>95025</v>
      </c>
      <c r="E212" s="393">
        <v>77050</v>
      </c>
      <c r="F212" s="393"/>
      <c r="G212" s="393"/>
      <c r="H212" s="393"/>
      <c r="I212" s="393"/>
      <c r="J212" s="393"/>
      <c r="K212" s="393"/>
      <c r="L212" s="393">
        <v>432630</v>
      </c>
      <c r="M212" s="393"/>
    </row>
    <row r="213" spans="1:13" ht="12.75">
      <c r="A213" s="392">
        <v>522130</v>
      </c>
      <c r="B213" s="393"/>
      <c r="C213" s="393"/>
      <c r="D213" s="393">
        <v>95030</v>
      </c>
      <c r="E213" s="393">
        <v>77060</v>
      </c>
      <c r="F213" s="393"/>
      <c r="G213" s="393"/>
      <c r="H213" s="393"/>
      <c r="I213" s="393"/>
      <c r="J213" s="393"/>
      <c r="K213" s="393"/>
      <c r="L213" s="393">
        <v>432635</v>
      </c>
      <c r="M213" s="393"/>
    </row>
    <row r="214" spans="1:13" ht="12.75">
      <c r="A214" s="392">
        <v>522140</v>
      </c>
      <c r="B214" s="393"/>
      <c r="C214" s="393"/>
      <c r="D214" s="393">
        <v>95035</v>
      </c>
      <c r="E214" s="393">
        <v>77070</v>
      </c>
      <c r="F214" s="393"/>
      <c r="G214" s="393"/>
      <c r="H214" s="393"/>
      <c r="I214" s="393"/>
      <c r="J214" s="393"/>
      <c r="K214" s="393"/>
      <c r="L214" s="393">
        <v>432640</v>
      </c>
      <c r="M214" s="393"/>
    </row>
    <row r="215" spans="1:13" ht="12.75">
      <c r="A215" s="392">
        <v>523150</v>
      </c>
      <c r="B215" s="393"/>
      <c r="C215" s="393"/>
      <c r="D215" s="393">
        <v>95040</v>
      </c>
      <c r="E215" s="393">
        <v>77080</v>
      </c>
      <c r="F215" s="393"/>
      <c r="G215" s="393"/>
      <c r="H215" s="393"/>
      <c r="I215" s="393"/>
      <c r="J215" s="393"/>
      <c r="K215" s="393"/>
      <c r="L215" s="393">
        <v>432645</v>
      </c>
      <c r="M215" s="393"/>
    </row>
    <row r="216" spans="1:13" ht="12.75">
      <c r="A216" s="392">
        <v>531160</v>
      </c>
      <c r="B216" s="393"/>
      <c r="C216" s="393"/>
      <c r="D216" s="393"/>
      <c r="E216" s="393"/>
      <c r="F216" s="393">
        <v>65100</v>
      </c>
      <c r="G216" s="393">
        <v>55430</v>
      </c>
      <c r="H216" s="393"/>
      <c r="I216" s="393"/>
      <c r="J216" s="393"/>
      <c r="K216" s="393"/>
      <c r="L216" s="393">
        <v>432650</v>
      </c>
      <c r="M216" s="393"/>
    </row>
    <row r="217" spans="1:13" ht="12.75">
      <c r="A217" s="392">
        <v>531170</v>
      </c>
      <c r="B217" s="393"/>
      <c r="C217" s="393"/>
      <c r="D217" s="393"/>
      <c r="E217" s="393"/>
      <c r="F217" s="393">
        <v>65300</v>
      </c>
      <c r="G217" s="393">
        <v>55450</v>
      </c>
      <c r="H217" s="393"/>
      <c r="I217" s="393"/>
      <c r="J217" s="393"/>
      <c r="K217" s="393"/>
      <c r="L217" s="393">
        <v>432655</v>
      </c>
      <c r="M217" s="393"/>
    </row>
    <row r="218" spans="1:13" ht="12.75">
      <c r="A218" s="392">
        <v>532180</v>
      </c>
      <c r="B218" s="393"/>
      <c r="C218" s="393"/>
      <c r="D218" s="393"/>
      <c r="E218" s="393"/>
      <c r="F218" s="393">
        <v>65500</v>
      </c>
      <c r="G218" s="393">
        <v>55470</v>
      </c>
      <c r="H218" s="393"/>
      <c r="I218" s="393"/>
      <c r="J218" s="393"/>
      <c r="K218" s="393"/>
      <c r="L218" s="393">
        <v>432660</v>
      </c>
      <c r="M218" s="393"/>
    </row>
    <row r="219" spans="1:13" ht="12.75">
      <c r="A219" s="392">
        <v>533190</v>
      </c>
      <c r="B219" s="393"/>
      <c r="C219" s="393"/>
      <c r="D219" s="393"/>
      <c r="E219" s="393"/>
      <c r="F219" s="393">
        <v>65700</v>
      </c>
      <c r="G219" s="393">
        <v>55490</v>
      </c>
      <c r="H219" s="393"/>
      <c r="I219" s="393"/>
      <c r="J219" s="393"/>
      <c r="K219" s="393"/>
      <c r="L219" s="393">
        <v>432665</v>
      </c>
      <c r="M219" s="393"/>
    </row>
    <row r="220" spans="1:13" ht="12.75">
      <c r="A220" s="392">
        <v>533200</v>
      </c>
      <c r="B220" s="393"/>
      <c r="C220" s="393"/>
      <c r="D220" s="393"/>
      <c r="E220" s="393"/>
      <c r="F220" s="393">
        <v>65900</v>
      </c>
      <c r="G220" s="393">
        <v>55510</v>
      </c>
      <c r="H220" s="393"/>
      <c r="I220" s="393"/>
      <c r="J220" s="393"/>
      <c r="K220" s="393"/>
      <c r="L220" s="393">
        <v>432670</v>
      </c>
      <c r="M220" s="393"/>
    </row>
    <row r="221" spans="1:13" ht="12.75">
      <c r="A221" s="392">
        <v>541210</v>
      </c>
      <c r="B221" s="393"/>
      <c r="C221" s="393"/>
      <c r="D221" s="393"/>
      <c r="E221" s="393"/>
      <c r="F221" s="393"/>
      <c r="G221" s="393"/>
      <c r="H221" s="393">
        <v>65800</v>
      </c>
      <c r="I221" s="393">
        <v>76810</v>
      </c>
      <c r="J221" s="393"/>
      <c r="K221" s="393"/>
      <c r="L221" s="393">
        <v>432675</v>
      </c>
      <c r="M221" s="393"/>
    </row>
    <row r="222" spans="1:13" ht="12.75">
      <c r="A222" s="392">
        <v>541220</v>
      </c>
      <c r="B222" s="393"/>
      <c r="C222" s="393"/>
      <c r="D222" s="393"/>
      <c r="E222" s="393"/>
      <c r="F222" s="393"/>
      <c r="G222" s="393"/>
      <c r="H222" s="393">
        <v>65900</v>
      </c>
      <c r="I222" s="393">
        <v>76815</v>
      </c>
      <c r="J222" s="393"/>
      <c r="K222" s="393"/>
      <c r="L222" s="393">
        <v>432680</v>
      </c>
      <c r="M222" s="393"/>
    </row>
    <row r="223" spans="1:13" ht="12.75">
      <c r="A223" s="392">
        <v>542230</v>
      </c>
      <c r="B223" s="393"/>
      <c r="C223" s="393"/>
      <c r="D223" s="393"/>
      <c r="E223" s="393"/>
      <c r="F223" s="393"/>
      <c r="G223" s="393"/>
      <c r="H223" s="393">
        <v>66000</v>
      </c>
      <c r="I223" s="393">
        <v>76820</v>
      </c>
      <c r="J223" s="393"/>
      <c r="K223" s="393"/>
      <c r="L223" s="393">
        <v>432685</v>
      </c>
      <c r="M223" s="393"/>
    </row>
    <row r="224" spans="1:13" ht="12.75">
      <c r="A224" s="392">
        <v>542240</v>
      </c>
      <c r="B224" s="393"/>
      <c r="C224" s="393"/>
      <c r="D224" s="393"/>
      <c r="E224" s="393"/>
      <c r="F224" s="393"/>
      <c r="G224" s="393"/>
      <c r="H224" s="393">
        <v>66100</v>
      </c>
      <c r="I224" s="393">
        <v>76825</v>
      </c>
      <c r="J224" s="393"/>
      <c r="K224" s="393"/>
      <c r="L224" s="393">
        <v>432690</v>
      </c>
      <c r="M224" s="393"/>
    </row>
    <row r="225" spans="1:13" ht="12.75">
      <c r="A225" s="392">
        <v>542250</v>
      </c>
      <c r="B225" s="393"/>
      <c r="C225" s="393"/>
      <c r="D225" s="393"/>
      <c r="E225" s="393"/>
      <c r="F225" s="393"/>
      <c r="G225" s="393"/>
      <c r="H225" s="393">
        <v>66200</v>
      </c>
      <c r="I225" s="393">
        <v>76830</v>
      </c>
      <c r="J225" s="393"/>
      <c r="K225" s="393"/>
      <c r="L225" s="393">
        <v>432695</v>
      </c>
      <c r="M225" s="393"/>
    </row>
    <row r="226" spans="1:13" ht="12.75">
      <c r="A226" s="392">
        <v>542255</v>
      </c>
      <c r="B226" s="393"/>
      <c r="C226" s="393"/>
      <c r="D226" s="393"/>
      <c r="E226" s="393"/>
      <c r="F226" s="393"/>
      <c r="G226" s="393"/>
      <c r="H226" s="393">
        <v>66300</v>
      </c>
      <c r="I226" s="393">
        <v>76835</v>
      </c>
      <c r="J226" s="393"/>
      <c r="K226" s="393"/>
      <c r="L226" s="393">
        <v>432700</v>
      </c>
      <c r="M226" s="393"/>
    </row>
    <row r="227" spans="1:13" ht="12.75">
      <c r="A227" s="392">
        <v>543260</v>
      </c>
      <c r="B227" s="393"/>
      <c r="C227" s="393"/>
      <c r="D227" s="393"/>
      <c r="E227" s="393"/>
      <c r="F227" s="393"/>
      <c r="G227" s="393"/>
      <c r="H227" s="393">
        <v>66400</v>
      </c>
      <c r="I227" s="393">
        <v>76840</v>
      </c>
      <c r="J227" s="393"/>
      <c r="K227" s="393"/>
      <c r="L227" s="393">
        <v>432705</v>
      </c>
      <c r="M227" s="393"/>
    </row>
    <row r="228" spans="1:13" ht="12.75">
      <c r="A228" s="392">
        <v>543270</v>
      </c>
      <c r="B228" s="393"/>
      <c r="C228" s="393"/>
      <c r="D228" s="393"/>
      <c r="E228" s="393"/>
      <c r="F228" s="393"/>
      <c r="G228" s="393"/>
      <c r="H228" s="393">
        <v>66500</v>
      </c>
      <c r="I228" s="393">
        <v>76845</v>
      </c>
      <c r="J228" s="393"/>
      <c r="K228" s="393"/>
      <c r="L228" s="393">
        <v>432710</v>
      </c>
      <c r="M228" s="393"/>
    </row>
    <row r="229" spans="1:13" ht="12.75">
      <c r="A229" s="392">
        <v>551280</v>
      </c>
      <c r="B229" s="393"/>
      <c r="C229" s="393"/>
      <c r="D229" s="393"/>
      <c r="E229" s="393"/>
      <c r="F229" s="393"/>
      <c r="G229" s="393"/>
      <c r="H229" s="393"/>
      <c r="I229" s="393"/>
      <c r="J229" s="393">
        <v>24500</v>
      </c>
      <c r="K229" s="393">
        <v>66600</v>
      </c>
      <c r="L229" s="393">
        <v>432715</v>
      </c>
      <c r="M229" s="393"/>
    </row>
    <row r="230" spans="1:13" ht="12.75">
      <c r="A230" s="392">
        <v>551290</v>
      </c>
      <c r="B230" s="393"/>
      <c r="C230" s="393"/>
      <c r="D230" s="393"/>
      <c r="E230" s="393"/>
      <c r="F230" s="393"/>
      <c r="G230" s="393"/>
      <c r="H230" s="393"/>
      <c r="I230" s="393"/>
      <c r="J230" s="393">
        <v>24510</v>
      </c>
      <c r="K230" s="393">
        <v>66615</v>
      </c>
      <c r="L230" s="393">
        <v>432720</v>
      </c>
      <c r="M230" s="393"/>
    </row>
    <row r="231" spans="1:13" ht="12.75">
      <c r="A231" s="392">
        <v>552300</v>
      </c>
      <c r="B231" s="393"/>
      <c r="C231" s="393"/>
      <c r="D231" s="393"/>
      <c r="E231" s="393"/>
      <c r="F231" s="393"/>
      <c r="G231" s="393"/>
      <c r="H231" s="393"/>
      <c r="I231" s="393"/>
      <c r="J231" s="393">
        <v>24520</v>
      </c>
      <c r="K231" s="393">
        <v>66630</v>
      </c>
      <c r="L231" s="393">
        <v>432725</v>
      </c>
      <c r="M231" s="393"/>
    </row>
    <row r="232" spans="1:13" ht="12.75">
      <c r="A232" s="392">
        <v>552310</v>
      </c>
      <c r="B232" s="393"/>
      <c r="C232" s="393"/>
      <c r="D232" s="393"/>
      <c r="E232" s="393"/>
      <c r="F232" s="393"/>
      <c r="G232" s="393"/>
      <c r="H232" s="393"/>
      <c r="I232" s="393"/>
      <c r="J232" s="393">
        <v>24530</v>
      </c>
      <c r="K232" s="393">
        <v>66645</v>
      </c>
      <c r="L232" s="393">
        <v>432730</v>
      </c>
      <c r="M232" s="393"/>
    </row>
  </sheetData>
  <mergeCells count="1">
    <mergeCell ref="A17:D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7"/>
  <dimension ref="A1:K13"/>
  <sheetViews>
    <sheetView showGridLines="0" showRowColHeaders="0" workbookViewId="0" topLeftCell="A1">
      <selection activeCell="E34" sqref="E34"/>
    </sheetView>
  </sheetViews>
  <sheetFormatPr defaultColWidth="11.421875" defaultRowHeight="12.75"/>
  <cols>
    <col min="1" max="1" width="11.421875" style="49" customWidth="1"/>
    <col min="2" max="2" width="19.421875" style="49" bestFit="1" customWidth="1"/>
    <col min="3" max="3" width="17.8515625" style="49" bestFit="1" customWidth="1"/>
    <col min="4" max="4" width="15.57421875" style="49" bestFit="1" customWidth="1"/>
    <col min="5" max="5" width="15.00390625" style="49" bestFit="1" customWidth="1"/>
    <col min="6" max="6" width="25.8515625" style="49" customWidth="1"/>
    <col min="7" max="7" width="11.57421875" style="49" bestFit="1" customWidth="1"/>
    <col min="8" max="8" width="11.421875" style="49" bestFit="1" customWidth="1"/>
    <col min="9" max="9" width="6.8515625" style="49" bestFit="1" customWidth="1"/>
    <col min="10" max="16384" width="11.421875" style="49" customWidth="1"/>
  </cols>
  <sheetData>
    <row r="1" ht="18.75">
      <c r="A1" s="52" t="s">
        <v>161</v>
      </c>
    </row>
    <row r="2" ht="13.5" thickBot="1"/>
    <row r="3" spans="1:9" ht="12.75">
      <c r="A3" s="59" t="s">
        <v>8</v>
      </c>
      <c r="B3" s="60" t="s">
        <v>9</v>
      </c>
      <c r="C3" s="60" t="s">
        <v>10</v>
      </c>
      <c r="D3" s="60" t="s">
        <v>11</v>
      </c>
      <c r="E3" s="60" t="s">
        <v>12</v>
      </c>
      <c r="F3" s="60" t="s">
        <v>90</v>
      </c>
      <c r="G3" s="60" t="s">
        <v>141</v>
      </c>
      <c r="H3" s="60" t="s">
        <v>142</v>
      </c>
      <c r="I3" s="61" t="s">
        <v>13</v>
      </c>
    </row>
    <row r="4" spans="1:9" ht="12.75">
      <c r="A4" s="62">
        <v>10001</v>
      </c>
      <c r="B4" s="53" t="s">
        <v>14</v>
      </c>
      <c r="C4" s="53" t="s">
        <v>15</v>
      </c>
      <c r="D4" s="53" t="s">
        <v>16</v>
      </c>
      <c r="E4" s="53" t="s">
        <v>17</v>
      </c>
      <c r="F4" s="54" t="s">
        <v>59</v>
      </c>
      <c r="G4" s="54" t="s">
        <v>149</v>
      </c>
      <c r="H4" s="54" t="s">
        <v>155</v>
      </c>
      <c r="I4" s="63">
        <v>0.05</v>
      </c>
    </row>
    <row r="5" spans="1:9" ht="12.75">
      <c r="A5" s="62">
        <v>10002</v>
      </c>
      <c r="B5" s="53" t="s">
        <v>18</v>
      </c>
      <c r="C5" s="53" t="s">
        <v>19</v>
      </c>
      <c r="D5" s="53" t="s">
        <v>20</v>
      </c>
      <c r="E5" s="53" t="s">
        <v>21</v>
      </c>
      <c r="F5" s="54" t="s">
        <v>143</v>
      </c>
      <c r="G5" s="54" t="s">
        <v>150</v>
      </c>
      <c r="H5" s="54" t="s">
        <v>156</v>
      </c>
      <c r="I5" s="63">
        <v>0.15</v>
      </c>
    </row>
    <row r="6" spans="1:9" ht="12.75">
      <c r="A6" s="62">
        <v>10003</v>
      </c>
      <c r="B6" s="53" t="s">
        <v>22</v>
      </c>
      <c r="C6" s="53" t="s">
        <v>23</v>
      </c>
      <c r="D6" s="53" t="s">
        <v>24</v>
      </c>
      <c r="E6" s="53" t="s">
        <v>25</v>
      </c>
      <c r="F6" s="54" t="s">
        <v>144</v>
      </c>
      <c r="G6" s="54" t="s">
        <v>151</v>
      </c>
      <c r="H6" s="54" t="s">
        <v>157</v>
      </c>
      <c r="I6" s="63">
        <v>0.05</v>
      </c>
    </row>
    <row r="7" spans="1:9" ht="12.75">
      <c r="A7" s="62">
        <v>10004</v>
      </c>
      <c r="B7" s="53" t="s">
        <v>26</v>
      </c>
      <c r="C7" s="53" t="s">
        <v>27</v>
      </c>
      <c r="D7" s="53" t="s">
        <v>28</v>
      </c>
      <c r="E7" s="53" t="s">
        <v>29</v>
      </c>
      <c r="F7" s="54" t="s">
        <v>145</v>
      </c>
      <c r="G7" s="54" t="s">
        <v>152</v>
      </c>
      <c r="H7" s="54" t="s">
        <v>158</v>
      </c>
      <c r="I7" s="63">
        <v>0.2</v>
      </c>
    </row>
    <row r="8" spans="1:9" ht="12.75">
      <c r="A8" s="62">
        <v>10005</v>
      </c>
      <c r="B8" s="53" t="s">
        <v>30</v>
      </c>
      <c r="C8" s="53" t="s">
        <v>31</v>
      </c>
      <c r="D8" s="53" t="s">
        <v>32</v>
      </c>
      <c r="E8" s="53" t="s">
        <v>33</v>
      </c>
      <c r="F8" s="54" t="s">
        <v>146</v>
      </c>
      <c r="G8" s="54" t="s">
        <v>153</v>
      </c>
      <c r="H8" s="54" t="s">
        <v>159</v>
      </c>
      <c r="I8" s="63">
        <v>0.12</v>
      </c>
    </row>
    <row r="9" spans="1:11" s="51" customFormat="1" ht="12.75">
      <c r="A9" s="62">
        <v>10006</v>
      </c>
      <c r="B9" s="53" t="s">
        <v>34</v>
      </c>
      <c r="C9" s="53" t="s">
        <v>35</v>
      </c>
      <c r="D9" s="53" t="s">
        <v>36</v>
      </c>
      <c r="E9" s="53" t="s">
        <v>37</v>
      </c>
      <c r="F9" s="54" t="s">
        <v>147</v>
      </c>
      <c r="G9" s="54" t="s">
        <v>162</v>
      </c>
      <c r="H9" s="54" t="s">
        <v>160</v>
      </c>
      <c r="I9" s="63">
        <v>0.18</v>
      </c>
      <c r="J9" s="50"/>
      <c r="K9" s="50"/>
    </row>
    <row r="10" spans="1:9" ht="25.5">
      <c r="A10" s="62">
        <v>10007</v>
      </c>
      <c r="B10" s="55" t="s">
        <v>217</v>
      </c>
      <c r="C10" s="56" t="s">
        <v>82</v>
      </c>
      <c r="D10" s="55" t="s">
        <v>213</v>
      </c>
      <c r="E10" s="56" t="s">
        <v>83</v>
      </c>
      <c r="F10" s="54" t="s">
        <v>148</v>
      </c>
      <c r="G10" s="54" t="s">
        <v>154</v>
      </c>
      <c r="H10" s="56"/>
      <c r="I10" s="64">
        <v>0.1</v>
      </c>
    </row>
    <row r="11" spans="1:9" ht="12.75">
      <c r="A11" s="62">
        <v>10008</v>
      </c>
      <c r="B11" s="57" t="s">
        <v>38</v>
      </c>
      <c r="C11" s="53" t="s">
        <v>39</v>
      </c>
      <c r="D11" s="53" t="s">
        <v>16</v>
      </c>
      <c r="E11" s="53" t="s">
        <v>40</v>
      </c>
      <c r="F11" s="58"/>
      <c r="G11" s="53"/>
      <c r="H11" s="53"/>
      <c r="I11" s="65">
        <v>0.03</v>
      </c>
    </row>
    <row r="12" spans="1:9" ht="12.75">
      <c r="A12" s="62">
        <v>10009</v>
      </c>
      <c r="B12" s="53"/>
      <c r="C12" s="53"/>
      <c r="D12" s="53"/>
      <c r="E12" s="53"/>
      <c r="F12" s="53"/>
      <c r="G12" s="53"/>
      <c r="H12" s="53"/>
      <c r="I12" s="66"/>
    </row>
    <row r="13" spans="1:9" ht="13.5" thickBot="1">
      <c r="A13" s="67">
        <v>10010</v>
      </c>
      <c r="B13" s="68"/>
      <c r="C13" s="68"/>
      <c r="D13" s="68"/>
      <c r="E13" s="68"/>
      <c r="F13" s="68"/>
      <c r="G13" s="68"/>
      <c r="H13" s="68"/>
      <c r="I13" s="69"/>
    </row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8"/>
  <dimension ref="A1:E19"/>
  <sheetViews>
    <sheetView workbookViewId="0" topLeftCell="A1">
      <selection activeCell="F18" sqref="F18"/>
    </sheetView>
  </sheetViews>
  <sheetFormatPr defaultColWidth="11.421875" defaultRowHeight="12.75"/>
  <cols>
    <col min="3" max="3" width="16.28125" style="0" bestFit="1" customWidth="1"/>
  </cols>
  <sheetData>
    <row r="1" ht="12.75">
      <c r="A1" t="s">
        <v>364</v>
      </c>
    </row>
    <row r="3" spans="1:5" ht="12.75">
      <c r="A3">
        <v>1</v>
      </c>
      <c r="B3" t="s">
        <v>339</v>
      </c>
      <c r="C3" t="s">
        <v>340</v>
      </c>
      <c r="D3" t="s">
        <v>341</v>
      </c>
      <c r="E3" t="s">
        <v>342</v>
      </c>
    </row>
    <row r="4" spans="1:5" ht="12.75">
      <c r="A4">
        <v>2</v>
      </c>
      <c r="B4" t="s">
        <v>343</v>
      </c>
      <c r="C4" t="s">
        <v>344</v>
      </c>
      <c r="D4" t="s">
        <v>345</v>
      </c>
      <c r="E4" t="s">
        <v>346</v>
      </c>
    </row>
    <row r="5" spans="1:5" ht="12.75">
      <c r="A5">
        <v>3</v>
      </c>
      <c r="B5" t="s">
        <v>347</v>
      </c>
      <c r="C5" t="s">
        <v>348</v>
      </c>
      <c r="D5" t="s">
        <v>349</v>
      </c>
      <c r="E5" t="s">
        <v>350</v>
      </c>
    </row>
    <row r="7" ht="12.75">
      <c r="A7" t="s">
        <v>365</v>
      </c>
    </row>
    <row r="8" spans="1:5" ht="12.75">
      <c r="A8">
        <v>1</v>
      </c>
      <c r="B8" t="s">
        <v>354</v>
      </c>
      <c r="C8" t="s">
        <v>357</v>
      </c>
      <c r="D8" t="s">
        <v>358</v>
      </c>
      <c r="E8" t="s">
        <v>359</v>
      </c>
    </row>
    <row r="9" spans="1:5" ht="12.75">
      <c r="A9">
        <v>2</v>
      </c>
      <c r="B9" t="s">
        <v>355</v>
      </c>
      <c r="C9" t="s">
        <v>361</v>
      </c>
      <c r="D9" t="s">
        <v>362</v>
      </c>
      <c r="E9" t="s">
        <v>363</v>
      </c>
    </row>
    <row r="10" spans="1:5" ht="12.75">
      <c r="A10">
        <v>3</v>
      </c>
      <c r="B10" t="s">
        <v>356</v>
      </c>
      <c r="C10" t="s">
        <v>360</v>
      </c>
      <c r="D10" t="s">
        <v>242</v>
      </c>
      <c r="E10" t="s">
        <v>243</v>
      </c>
    </row>
    <row r="12" ht="12.75">
      <c r="A12" t="s">
        <v>78</v>
      </c>
    </row>
    <row r="13" spans="1:2" ht="12.75">
      <c r="A13">
        <v>1</v>
      </c>
      <c r="B13" t="s">
        <v>79</v>
      </c>
    </row>
    <row r="14" spans="1:2" ht="12.75">
      <c r="A14">
        <v>2</v>
      </c>
      <c r="B14" t="s">
        <v>80</v>
      </c>
    </row>
    <row r="15" spans="1:2" ht="12.75">
      <c r="A15">
        <v>3</v>
      </c>
      <c r="B15" t="s">
        <v>81</v>
      </c>
    </row>
    <row r="17" ht="12.75">
      <c r="A17" t="s">
        <v>215</v>
      </c>
    </row>
    <row r="18" spans="1:2" ht="12.75">
      <c r="A18" s="157">
        <v>14</v>
      </c>
      <c r="B18" s="76">
        <v>0.03</v>
      </c>
    </row>
    <row r="19" spans="1:2" ht="12.75">
      <c r="A19" s="157">
        <v>30</v>
      </c>
      <c r="B19" t="s">
        <v>216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P40"/>
  <sheetViews>
    <sheetView showRowColHeaders="0" workbookViewId="0" topLeftCell="A1">
      <selection activeCell="E4" sqref="E4:F4"/>
    </sheetView>
  </sheetViews>
  <sheetFormatPr defaultColWidth="11.421875" defaultRowHeight="12.75"/>
  <cols>
    <col min="1" max="1" width="13.421875" style="237" customWidth="1"/>
    <col min="2" max="2" width="28.57421875" style="237" customWidth="1"/>
    <col min="3" max="3" width="9.28125" style="237" bestFit="1" customWidth="1"/>
    <col min="4" max="4" width="13.28125" style="237" customWidth="1"/>
    <col min="5" max="5" width="9.28125" style="237" bestFit="1" customWidth="1"/>
    <col min="6" max="6" width="12.00390625" style="237" bestFit="1" customWidth="1"/>
    <col min="7" max="7" width="9.28125" style="237" bestFit="1" customWidth="1"/>
    <col min="8" max="8" width="12.00390625" style="237" bestFit="1" customWidth="1"/>
    <col min="9" max="9" width="4.8515625" style="237" hidden="1" customWidth="1"/>
    <col min="10" max="16384" width="11.421875" style="237" customWidth="1"/>
  </cols>
  <sheetData>
    <row r="1" spans="1:16" ht="13.5" thickBot="1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27" thickBot="1">
      <c r="A2" s="238"/>
      <c r="B2" s="657" t="s">
        <v>277</v>
      </c>
      <c r="C2" s="658"/>
      <c r="D2" s="658"/>
      <c r="E2" s="658"/>
      <c r="F2" s="658"/>
      <c r="G2" s="658"/>
      <c r="H2" s="659"/>
      <c r="J2" s="238"/>
      <c r="K2" s="238"/>
      <c r="L2" s="238"/>
      <c r="M2" s="238"/>
      <c r="N2" s="238"/>
      <c r="O2" s="238"/>
      <c r="P2" s="238"/>
    </row>
    <row r="3" spans="1:16" ht="14.25" customHeight="1" thickBot="1">
      <c r="A3" s="238"/>
      <c r="B3" s="239"/>
      <c r="C3" s="240"/>
      <c r="D3" s="240"/>
      <c r="E3" s="240"/>
      <c r="F3" s="240"/>
      <c r="G3" s="240"/>
      <c r="H3" s="241"/>
      <c r="J3" s="238"/>
      <c r="K3" s="238"/>
      <c r="L3" s="238"/>
      <c r="M3" s="238"/>
      <c r="N3" s="238"/>
      <c r="O3" s="238"/>
      <c r="P3" s="238"/>
    </row>
    <row r="4" spans="1:16" ht="25.5" customHeight="1" thickBot="1">
      <c r="A4" s="238"/>
      <c r="B4" s="242" t="s">
        <v>278</v>
      </c>
      <c r="C4" s="660" t="s">
        <v>279</v>
      </c>
      <c r="D4" s="661"/>
      <c r="E4" s="662">
        <v>511020</v>
      </c>
      <c r="F4" s="663"/>
      <c r="G4" s="243"/>
      <c r="H4" s="244"/>
      <c r="J4" s="238"/>
      <c r="K4" s="238"/>
      <c r="L4" s="238"/>
      <c r="M4" s="238"/>
      <c r="N4" s="238"/>
      <c r="O4" s="238"/>
      <c r="P4" s="238"/>
    </row>
    <row r="5" spans="1:16" ht="12.75">
      <c r="A5" s="238"/>
      <c r="B5" s="416"/>
      <c r="C5" s="243"/>
      <c r="D5" s="243"/>
      <c r="E5" s="243"/>
      <c r="F5" s="243"/>
      <c r="G5" s="243"/>
      <c r="H5" s="244"/>
      <c r="J5" s="238"/>
      <c r="K5" s="238"/>
      <c r="L5" s="238"/>
      <c r="M5" s="238"/>
      <c r="N5" s="238"/>
      <c r="O5" s="238"/>
      <c r="P5" s="238"/>
    </row>
    <row r="6" spans="1:16" ht="15.75">
      <c r="A6" s="238"/>
      <c r="B6" s="245"/>
      <c r="C6" s="664">
        <f>VLOOKUP($E$4,werliefertwas,2)</f>
        <v>21001</v>
      </c>
      <c r="D6" s="664"/>
      <c r="E6" s="664">
        <f>VLOOKUP($E$4,werliefertwas,3)</f>
        <v>21002</v>
      </c>
      <c r="F6" s="664"/>
      <c r="G6" s="664">
        <f>VLOOKUP($E$4,werliefertwas,4)</f>
        <v>26011</v>
      </c>
      <c r="H6" s="665"/>
      <c r="J6" s="238"/>
      <c r="K6" s="238"/>
      <c r="L6" s="238"/>
      <c r="M6" s="238"/>
      <c r="N6" s="238"/>
      <c r="O6" s="238"/>
      <c r="P6" s="238"/>
    </row>
    <row r="7" spans="1:16" ht="15.75">
      <c r="A7" s="238"/>
      <c r="B7" s="245"/>
      <c r="C7" s="664" t="str">
        <f>VLOOKUP(C6,Lieferanten,2)</f>
        <v>August Reiter KG</v>
      </c>
      <c r="D7" s="664"/>
      <c r="E7" s="664" t="str">
        <f>VLOOKUP(E6,Lieferanten,2)</f>
        <v>Karl Linz GmbH</v>
      </c>
      <c r="F7" s="664"/>
      <c r="G7" s="664" t="str">
        <f>VLOOKUP(G6,Lieferanten,2)</f>
        <v>Gebr. Bauser OHG</v>
      </c>
      <c r="H7" s="665"/>
      <c r="J7" s="238"/>
      <c r="K7" s="238"/>
      <c r="L7" s="238"/>
      <c r="M7" s="238"/>
      <c r="N7" s="238"/>
      <c r="O7" s="238"/>
      <c r="P7" s="238"/>
    </row>
    <row r="8" spans="1:16" ht="12.75">
      <c r="A8" s="238"/>
      <c r="B8" s="246" t="s">
        <v>280</v>
      </c>
      <c r="C8" s="666">
        <f>HLOOKUP(VLOOKUP($E$4,werliefertwas,2),Listenpreise,LOOKUP($E$4,Lieferanten!$B$20:$B$54,Lieferanten!$A$20:$A$54)+1,FALSE)</f>
        <v>122.33</v>
      </c>
      <c r="D8" s="666"/>
      <c r="E8" s="666">
        <f>HLOOKUP(VLOOKUP($E$4,werliefertwas,3),Listenpreise,LOOKUP($E$4,Lieferanten!$B$20:$B$54,Lieferanten!$A$20:$A$54)+1,FALSE)</f>
        <v>59.99</v>
      </c>
      <c r="F8" s="666"/>
      <c r="G8" s="666">
        <f>HLOOKUP(VLOOKUP($E$4,werliefertwas,4),Listenpreise,LOOKUP($E$4,Lieferanten!$B$20:$B$54,Lieferanten!$A$20:$A$54)+1,FALSE)</f>
        <v>24.44</v>
      </c>
      <c r="H8" s="667"/>
      <c r="J8" s="238"/>
      <c r="K8" s="238"/>
      <c r="L8" s="238"/>
      <c r="M8" s="238"/>
      <c r="N8" s="238"/>
      <c r="O8" s="238"/>
      <c r="P8" s="238"/>
    </row>
    <row r="9" spans="1:16" ht="12.75">
      <c r="A9" s="238"/>
      <c r="B9" s="246" t="s">
        <v>281</v>
      </c>
      <c r="C9" s="648">
        <f>HLOOKUP(VLOOKUP($E$4,werliefertwas,2),Rabatte,LOOKUP($E$4,Lieferanten!$B$20:$B$54,Lieferanten!$A$20:$A$54)+1,FALSE)</f>
        <v>0.11</v>
      </c>
      <c r="D9" s="648"/>
      <c r="E9" s="648">
        <f>HLOOKUP(VLOOKUP($E$4,werliefertwas,3),Rabatte,LOOKUP($E$4,Lieferanten!$B$20:$B$54,Lieferanten!$A$20:$A$54)+1,FALSE)</f>
        <v>0.14</v>
      </c>
      <c r="F9" s="648"/>
      <c r="G9" s="648">
        <f>HLOOKUP(VLOOKUP($E$4,werliefertwas,4),Rabatte,LOOKUP($E$4,Lieferanten!$B$20:$B$54,Lieferanten!$A$20:$A$54)+1,FALSE)</f>
        <v>0.18</v>
      </c>
      <c r="H9" s="649"/>
      <c r="J9" s="238"/>
      <c r="K9" s="238"/>
      <c r="L9" s="238"/>
      <c r="M9" s="238"/>
      <c r="N9" s="238"/>
      <c r="O9" s="238"/>
      <c r="P9" s="238"/>
    </row>
    <row r="10" spans="1:16" ht="12.75">
      <c r="A10" s="238"/>
      <c r="B10" s="246" t="s">
        <v>282</v>
      </c>
      <c r="C10" s="650">
        <v>0.03</v>
      </c>
      <c r="D10" s="650"/>
      <c r="E10" s="650">
        <v>0.025</v>
      </c>
      <c r="F10" s="650"/>
      <c r="G10" s="650">
        <v>0.02</v>
      </c>
      <c r="H10" s="642"/>
      <c r="J10" s="238"/>
      <c r="K10" s="238"/>
      <c r="L10" s="238"/>
      <c r="M10" s="238"/>
      <c r="N10" s="238"/>
      <c r="O10" s="238"/>
      <c r="P10" s="238"/>
    </row>
    <row r="11" spans="1:16" ht="12.75">
      <c r="A11" s="238"/>
      <c r="B11" s="246" t="s">
        <v>283</v>
      </c>
      <c r="C11" s="666">
        <f>HLOOKUP(VLOOKUP($E$4,werliefertwas,2),Bezugskosten,LOOKUP($E$4,Lieferanten!$B$20:$B$54,Lieferanten!$A$20:$A$54)+1,FALSE)</f>
        <v>0.44</v>
      </c>
      <c r="D11" s="666"/>
      <c r="E11" s="666">
        <f>HLOOKUP(VLOOKUP($E$4,werliefertwas,3),Bezugskosten,LOOKUP($E$4,Lieferanten!$B$20:$B$54,Lieferanten!$A$20:$A$54)+1,FALSE)</f>
        <v>1</v>
      </c>
      <c r="F11" s="666"/>
      <c r="G11" s="666">
        <f>HLOOKUP(VLOOKUP($E$4,werliefertwas,4),Bezugskosten,LOOKUP($E$4,Lieferanten!$B$20:$B$54,Lieferanten!$A$20:$A$54)+1,FALSE)</f>
        <v>0.8</v>
      </c>
      <c r="H11" s="667"/>
      <c r="J11" s="238"/>
      <c r="K11" s="238"/>
      <c r="L11" s="238"/>
      <c r="M11" s="238"/>
      <c r="N11" s="238"/>
      <c r="O11" s="238"/>
      <c r="P11" s="238"/>
    </row>
    <row r="12" spans="1:16" ht="12.75">
      <c r="A12" s="238"/>
      <c r="B12" s="246" t="s">
        <v>284</v>
      </c>
      <c r="C12" s="643">
        <f>HLOOKUP(VLOOKUP($E$4,werliefertwas,2),Packungsgrößen,LOOKUP($E$4,Lieferanten!$B$20:$B$54,Lieferanten!$A$20:$A$54)+1,FALSE)</f>
        <v>50</v>
      </c>
      <c r="D12" s="643"/>
      <c r="E12" s="643">
        <f>HLOOKUP(VLOOKUP($E$4,werliefertwas,3),Packungsgrößen,LOOKUP($E$4,Lieferanten!$B$20:$B$54,Lieferanten!$A$20:$A$54)+1,FALSE)</f>
        <v>25</v>
      </c>
      <c r="F12" s="643"/>
      <c r="G12" s="643">
        <f>HLOOKUP(VLOOKUP($E$4,werliefertwas,4),Packungsgrößen,LOOKUP($E$4,Lieferanten!$B$20:$B$54,Lieferanten!$A$20:$A$54)+1,FALSE)</f>
        <v>10</v>
      </c>
      <c r="H12" s="644"/>
      <c r="J12" s="238"/>
      <c r="K12" s="238"/>
      <c r="L12" s="238"/>
      <c r="M12" s="238"/>
      <c r="N12" s="238"/>
      <c r="O12" s="238"/>
      <c r="P12" s="238"/>
    </row>
    <row r="13" spans="1:16" ht="13.5" thickBot="1">
      <c r="A13" s="238"/>
      <c r="B13" s="247"/>
      <c r="C13" s="248"/>
      <c r="D13" s="249"/>
      <c r="E13" s="250"/>
      <c r="F13" s="250"/>
      <c r="G13" s="250"/>
      <c r="H13" s="251"/>
      <c r="J13" s="238"/>
      <c r="K13" s="238"/>
      <c r="L13" s="238"/>
      <c r="M13" s="238"/>
      <c r="N13" s="238"/>
      <c r="O13" s="238"/>
      <c r="P13" s="238"/>
    </row>
    <row r="14" spans="1:16" s="253" customFormat="1" ht="12.75">
      <c r="A14" s="252"/>
      <c r="B14" s="417"/>
      <c r="C14" s="418"/>
      <c r="D14" s="645" t="s">
        <v>285</v>
      </c>
      <c r="E14" s="645"/>
      <c r="F14" s="646" t="str">
        <f>VLOOKUP(E4,Artikel,2)</f>
        <v>Farbstifte, 6 Farben im Metalletui</v>
      </c>
      <c r="G14" s="641"/>
      <c r="H14" s="668"/>
      <c r="J14" s="252"/>
      <c r="K14" s="252"/>
      <c r="L14" s="252"/>
      <c r="M14" s="252"/>
      <c r="N14" s="252"/>
      <c r="O14" s="252"/>
      <c r="P14" s="252"/>
    </row>
    <row r="15" spans="1:16" ht="13.5" thickBot="1">
      <c r="A15" s="238"/>
      <c r="B15" s="254"/>
      <c r="C15" s="255"/>
      <c r="D15" s="671" t="s">
        <v>286</v>
      </c>
      <c r="E15" s="672"/>
      <c r="F15" s="673">
        <f>VLOOKUP(E4,Artikel,3)</f>
        <v>10</v>
      </c>
      <c r="G15" s="674"/>
      <c r="H15" s="675"/>
      <c r="J15" s="238"/>
      <c r="K15" s="238"/>
      <c r="L15" s="238"/>
      <c r="M15" s="238"/>
      <c r="N15" s="238"/>
      <c r="O15" s="238"/>
      <c r="P15" s="238"/>
    </row>
    <row r="16" spans="1:16" ht="6.75" customHeight="1">
      <c r="A16" s="238"/>
      <c r="B16" s="256"/>
      <c r="C16" s="255"/>
      <c r="D16" s="257"/>
      <c r="E16" s="257"/>
      <c r="F16" s="258"/>
      <c r="G16" s="250"/>
      <c r="H16" s="251"/>
      <c r="J16" s="238"/>
      <c r="K16" s="238"/>
      <c r="L16" s="238"/>
      <c r="M16" s="238"/>
      <c r="N16" s="238"/>
      <c r="O16" s="238"/>
      <c r="P16" s="238"/>
    </row>
    <row r="17" spans="1:16" ht="14.25" customHeight="1" thickBot="1">
      <c r="A17" s="238"/>
      <c r="B17" s="259" t="s">
        <v>287</v>
      </c>
      <c r="C17" s="260"/>
      <c r="D17" s="260"/>
      <c r="E17" s="260"/>
      <c r="F17" s="260"/>
      <c r="G17" s="260"/>
      <c r="H17" s="261"/>
      <c r="J17" s="238"/>
      <c r="K17" s="238"/>
      <c r="L17" s="238"/>
      <c r="M17" s="238"/>
      <c r="N17" s="238"/>
      <c r="O17" s="238"/>
      <c r="P17" s="238"/>
    </row>
    <row r="18" spans="1:16" ht="12.75">
      <c r="A18" s="238"/>
      <c r="B18" s="262" t="s">
        <v>288</v>
      </c>
      <c r="C18" s="676">
        <f>C6</f>
        <v>21001</v>
      </c>
      <c r="D18" s="676"/>
      <c r="E18" s="676">
        <f>E6</f>
        <v>21002</v>
      </c>
      <c r="F18" s="676"/>
      <c r="G18" s="676">
        <f>G6</f>
        <v>26011</v>
      </c>
      <c r="H18" s="677"/>
      <c r="I18" s="237">
        <f>MID(D13,2,1)</f>
      </c>
      <c r="J18" s="238"/>
      <c r="K18" s="238"/>
      <c r="L18" s="238"/>
      <c r="M18" s="238"/>
      <c r="N18" s="238"/>
      <c r="O18" s="238"/>
      <c r="P18" s="238"/>
    </row>
    <row r="19" spans="1:16" ht="12.75">
      <c r="A19" s="238"/>
      <c r="B19" s="263" t="s">
        <v>9</v>
      </c>
      <c r="C19" s="669" t="str">
        <f>C7</f>
        <v>August Reiter KG</v>
      </c>
      <c r="D19" s="669"/>
      <c r="E19" s="669" t="str">
        <f>E7</f>
        <v>Karl Linz GmbH</v>
      </c>
      <c r="F19" s="669"/>
      <c r="G19" s="669" t="str">
        <f>G7</f>
        <v>Gebr. Bauser OHG</v>
      </c>
      <c r="H19" s="670"/>
      <c r="J19" s="238"/>
      <c r="K19" s="238"/>
      <c r="L19" s="238"/>
      <c r="M19" s="238"/>
      <c r="N19" s="238"/>
      <c r="O19" s="238"/>
      <c r="P19" s="238"/>
    </row>
    <row r="20" spans="1:16" ht="12.75">
      <c r="A20" s="238"/>
      <c r="B20" s="264"/>
      <c r="C20" s="265" t="s">
        <v>289</v>
      </c>
      <c r="D20" s="265" t="s">
        <v>290</v>
      </c>
      <c r="E20" s="265" t="s">
        <v>289</v>
      </c>
      <c r="F20" s="265" t="s">
        <v>290</v>
      </c>
      <c r="G20" s="265" t="s">
        <v>289</v>
      </c>
      <c r="H20" s="266" t="s">
        <v>290</v>
      </c>
      <c r="J20" s="238"/>
      <c r="K20" s="238"/>
      <c r="L20" s="238"/>
      <c r="M20" s="238"/>
      <c r="N20" s="238"/>
      <c r="O20" s="238"/>
      <c r="P20" s="238"/>
    </row>
    <row r="21" spans="1:16" ht="12.75">
      <c r="A21" s="238"/>
      <c r="B21" s="246" t="s">
        <v>280</v>
      </c>
      <c r="C21" s="267">
        <f>C8</f>
        <v>122.33</v>
      </c>
      <c r="D21" s="268">
        <f>C21</f>
        <v>122.33</v>
      </c>
      <c r="E21" s="267">
        <f>E8</f>
        <v>59.99</v>
      </c>
      <c r="F21" s="268">
        <f>E21</f>
        <v>59.99</v>
      </c>
      <c r="G21" s="267">
        <f>G8</f>
        <v>24.44</v>
      </c>
      <c r="H21" s="269">
        <f>G21</f>
        <v>24.44</v>
      </c>
      <c r="J21" s="238"/>
      <c r="K21" s="238"/>
      <c r="L21" s="238"/>
      <c r="M21" s="238"/>
      <c r="N21" s="238"/>
      <c r="O21" s="238"/>
      <c r="P21" s="238"/>
    </row>
    <row r="22" spans="1:16" ht="12.75">
      <c r="A22" s="238"/>
      <c r="B22" s="246" t="s">
        <v>281</v>
      </c>
      <c r="C22" s="270">
        <f>C9</f>
        <v>0.11</v>
      </c>
      <c r="D22" s="267">
        <f>D21*C22</f>
        <v>13.4563</v>
      </c>
      <c r="E22" s="270">
        <f>E9</f>
        <v>0.14</v>
      </c>
      <c r="F22" s="267">
        <f>F21*E22</f>
        <v>8.398600000000002</v>
      </c>
      <c r="G22" s="270">
        <f>G9</f>
        <v>0.18</v>
      </c>
      <c r="H22" s="271">
        <f>H21*G22</f>
        <v>4.3992</v>
      </c>
      <c r="J22" s="238"/>
      <c r="K22" s="238"/>
      <c r="L22" s="238"/>
      <c r="M22" s="238"/>
      <c r="N22" s="238"/>
      <c r="O22" s="238"/>
      <c r="P22" s="238"/>
    </row>
    <row r="23" spans="1:16" ht="12.75">
      <c r="A23" s="238"/>
      <c r="B23" s="246" t="s">
        <v>291</v>
      </c>
      <c r="C23" s="272"/>
      <c r="D23" s="267">
        <f>D21-D22</f>
        <v>108.8737</v>
      </c>
      <c r="E23" s="272"/>
      <c r="F23" s="267">
        <f>F21-F22</f>
        <v>51.5914</v>
      </c>
      <c r="G23" s="272"/>
      <c r="H23" s="271">
        <f>H21-H22</f>
        <v>20.0408</v>
      </c>
      <c r="J23" s="238"/>
      <c r="K23" s="238"/>
      <c r="L23" s="238"/>
      <c r="M23" s="238"/>
      <c r="N23" s="238"/>
      <c r="O23" s="238"/>
      <c r="P23" s="238"/>
    </row>
    <row r="24" spans="1:16" ht="12.75">
      <c r="A24" s="238"/>
      <c r="B24" s="246" t="s">
        <v>282</v>
      </c>
      <c r="C24" s="273">
        <f>C10</f>
        <v>0.03</v>
      </c>
      <c r="D24" s="267">
        <f>D23*C24</f>
        <v>3.2662109999999998</v>
      </c>
      <c r="E24" s="273">
        <f>E10</f>
        <v>0.025</v>
      </c>
      <c r="F24" s="267">
        <f>F23*E24</f>
        <v>1.2897850000000002</v>
      </c>
      <c r="G24" s="273">
        <f>G10</f>
        <v>0.02</v>
      </c>
      <c r="H24" s="271">
        <f>H23*G24</f>
        <v>0.400816</v>
      </c>
      <c r="J24" s="238"/>
      <c r="K24" s="238"/>
      <c r="L24" s="238"/>
      <c r="M24" s="238"/>
      <c r="N24" s="238"/>
      <c r="O24" s="238"/>
      <c r="P24" s="238"/>
    </row>
    <row r="25" spans="1:16" ht="12.75">
      <c r="A25" s="238"/>
      <c r="B25" s="246" t="s">
        <v>292</v>
      </c>
      <c r="C25" s="272"/>
      <c r="D25" s="267">
        <f>D23-D24</f>
        <v>105.607489</v>
      </c>
      <c r="E25" s="272"/>
      <c r="F25" s="267">
        <f>F23-F24</f>
        <v>50.301615</v>
      </c>
      <c r="G25" s="274"/>
      <c r="H25" s="271">
        <f>H23-H24</f>
        <v>19.639984000000002</v>
      </c>
      <c r="J25" s="238"/>
      <c r="K25" s="238"/>
      <c r="L25" s="238"/>
      <c r="M25" s="238"/>
      <c r="N25" s="238"/>
      <c r="O25" s="238"/>
      <c r="P25" s="238"/>
    </row>
    <row r="26" spans="1:16" ht="12.75">
      <c r="A26" s="238"/>
      <c r="B26" s="246" t="s">
        <v>283</v>
      </c>
      <c r="C26" s="267">
        <f>C11</f>
        <v>0.44</v>
      </c>
      <c r="D26" s="275">
        <f>C26</f>
        <v>0.44</v>
      </c>
      <c r="E26" s="267">
        <f>E11</f>
        <v>1</v>
      </c>
      <c r="F26" s="275">
        <f>E26</f>
        <v>1</v>
      </c>
      <c r="G26" s="267">
        <f>G11</f>
        <v>0.8</v>
      </c>
      <c r="H26" s="276">
        <f>G26</f>
        <v>0.8</v>
      </c>
      <c r="J26" s="238"/>
      <c r="K26" s="238"/>
      <c r="L26" s="238"/>
      <c r="M26" s="238"/>
      <c r="N26" s="238"/>
      <c r="O26" s="238"/>
      <c r="P26" s="238"/>
    </row>
    <row r="27" spans="1:16" ht="12.75">
      <c r="A27" s="238"/>
      <c r="B27" s="246" t="s">
        <v>293</v>
      </c>
      <c r="C27" s="277"/>
      <c r="D27" s="278">
        <f>D25+D26</f>
        <v>106.047489</v>
      </c>
      <c r="E27" s="277"/>
      <c r="F27" s="278">
        <f>F25+F26</f>
        <v>51.301615</v>
      </c>
      <c r="G27" s="277"/>
      <c r="H27" s="279">
        <f>H25+H26</f>
        <v>20.439984000000003</v>
      </c>
      <c r="J27" s="238"/>
      <c r="K27" s="238"/>
      <c r="L27" s="238"/>
      <c r="M27" s="238"/>
      <c r="N27" s="238"/>
      <c r="O27" s="238"/>
      <c r="P27" s="238"/>
    </row>
    <row r="28" spans="1:16" ht="12.75">
      <c r="A28" s="238"/>
      <c r="B28" s="246" t="s">
        <v>284</v>
      </c>
      <c r="C28" s="71">
        <f>C12</f>
        <v>50</v>
      </c>
      <c r="D28" s="280"/>
      <c r="E28" s="71">
        <f>E12</f>
        <v>25</v>
      </c>
      <c r="F28" s="280"/>
      <c r="G28" s="281">
        <f>G12</f>
        <v>10</v>
      </c>
      <c r="H28" s="282"/>
      <c r="J28" s="238"/>
      <c r="K28" s="238"/>
      <c r="L28" s="238"/>
      <c r="M28" s="238"/>
      <c r="N28" s="238"/>
      <c r="O28" s="238"/>
      <c r="P28" s="238"/>
    </row>
    <row r="29" spans="1:16" ht="12.75">
      <c r="A29" s="238"/>
      <c r="B29" s="246" t="s">
        <v>294</v>
      </c>
      <c r="C29" s="71">
        <f>F15</f>
        <v>10</v>
      </c>
      <c r="D29" s="283"/>
      <c r="E29" s="71">
        <f>F15</f>
        <v>10</v>
      </c>
      <c r="F29" s="283"/>
      <c r="G29" s="281">
        <f>F15</f>
        <v>10</v>
      </c>
      <c r="H29" s="284"/>
      <c r="J29" s="238"/>
      <c r="K29" s="238"/>
      <c r="L29" s="238"/>
      <c r="M29" s="238"/>
      <c r="N29" s="238"/>
      <c r="O29" s="238"/>
      <c r="P29" s="238"/>
    </row>
    <row r="30" spans="1:16" ht="13.5" thickBot="1">
      <c r="A30" s="238"/>
      <c r="B30" s="285" t="s">
        <v>295</v>
      </c>
      <c r="C30" s="286"/>
      <c r="D30" s="287">
        <f>D27*C29/C28</f>
        <v>21.209497799999998</v>
      </c>
      <c r="E30" s="288"/>
      <c r="F30" s="287">
        <f>F27*E29/E28</f>
        <v>20.520645999999996</v>
      </c>
      <c r="G30" s="288"/>
      <c r="H30" s="289">
        <f>H27*G29/G28</f>
        <v>20.439984000000003</v>
      </c>
      <c r="J30" s="238"/>
      <c r="K30" s="238"/>
      <c r="L30" s="238"/>
      <c r="M30" s="238"/>
      <c r="N30" s="238"/>
      <c r="O30" s="238"/>
      <c r="P30" s="238"/>
    </row>
    <row r="31" spans="1:16" ht="13.5" thickBot="1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</row>
    <row r="32" spans="1:16" ht="19.5" thickBot="1">
      <c r="A32" s="238"/>
      <c r="B32" s="238"/>
      <c r="C32" s="654" t="str">
        <f>IF(D30=MIN(D30:H30),C7,IF(F30=MIN(D30:H30),E7,G7))&amp;" ist der günstigste Anbieter"</f>
        <v>Gebr. Bauser OHG ist der günstigste Anbieter</v>
      </c>
      <c r="D32" s="655"/>
      <c r="E32" s="655"/>
      <c r="F32" s="655"/>
      <c r="G32" s="655"/>
      <c r="H32" s="656"/>
      <c r="I32" s="238"/>
      <c r="J32" s="238"/>
      <c r="K32" s="238"/>
      <c r="L32" s="238"/>
      <c r="M32" s="238"/>
      <c r="N32" s="238"/>
      <c r="O32" s="238"/>
      <c r="P32" s="238"/>
    </row>
    <row r="33" spans="1:16" ht="12.75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</row>
    <row r="34" spans="1:16" ht="12.7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</row>
    <row r="35" spans="1:16" ht="12.75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</row>
    <row r="36" spans="1:16" ht="12.75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</row>
    <row r="37" spans="1:16" ht="12.75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</row>
    <row r="38" spans="1:16" ht="12.75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</row>
    <row r="39" spans="1:16" ht="12.75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</row>
    <row r="40" spans="1:16" ht="12.75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</row>
  </sheetData>
  <mergeCells count="35">
    <mergeCell ref="C19:D19"/>
    <mergeCell ref="E19:F19"/>
    <mergeCell ref="G19:H19"/>
    <mergeCell ref="D15:E15"/>
    <mergeCell ref="F15:H15"/>
    <mergeCell ref="C18:D18"/>
    <mergeCell ref="E18:F18"/>
    <mergeCell ref="G18:H18"/>
    <mergeCell ref="C12:D12"/>
    <mergeCell ref="E12:F12"/>
    <mergeCell ref="G12:H12"/>
    <mergeCell ref="D14:E14"/>
    <mergeCell ref="F14:H14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32:H32"/>
    <mergeCell ref="B2:H2"/>
    <mergeCell ref="C4:D4"/>
    <mergeCell ref="E4:F4"/>
    <mergeCell ref="C6:D6"/>
    <mergeCell ref="E6:F6"/>
    <mergeCell ref="G6:H6"/>
    <mergeCell ref="C7:D7"/>
    <mergeCell ref="E7:F7"/>
    <mergeCell ref="G7:H7"/>
  </mergeCells>
  <dataValidations count="1">
    <dataValidation type="list" allowBlank="1" showInputMessage="1" showErrorMessage="1" sqref="E4">
      <formula1>ANR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X31"/>
  <sheetViews>
    <sheetView showGridLines="0" showRowColHeaders="0" workbookViewId="0" topLeftCell="A1">
      <selection activeCell="D17" sqref="D17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10.00390625" style="0" customWidth="1"/>
    <col min="4" max="4" width="8.28125" style="0" bestFit="1" customWidth="1"/>
    <col min="5" max="5" width="9.421875" style="0" customWidth="1"/>
    <col min="6" max="6" width="8.57421875" style="0" bestFit="1" customWidth="1"/>
    <col min="7" max="7" width="18.140625" style="0" bestFit="1" customWidth="1"/>
    <col min="8" max="8" width="32.140625" style="0" bestFit="1" customWidth="1"/>
    <col min="9" max="9" width="12.421875" style="0" customWidth="1"/>
    <col min="10" max="10" width="10.7109375" style="0" customWidth="1"/>
    <col min="11" max="11" width="9.28125" style="0" bestFit="1" customWidth="1"/>
    <col min="12" max="12" width="11.140625" style="0" customWidth="1"/>
    <col min="13" max="13" width="12.7109375" style="0" customWidth="1"/>
    <col min="14" max="14" width="9.28125" style="0" bestFit="1" customWidth="1"/>
    <col min="15" max="16" width="10.57421875" style="0" bestFit="1" customWidth="1"/>
    <col min="17" max="17" width="10.421875" style="0" customWidth="1"/>
    <col min="18" max="18" width="11.8515625" style="0" customWidth="1"/>
    <col min="19" max="19" width="9.28125" style="0" bestFit="1" customWidth="1"/>
    <col min="20" max="20" width="8.28125" style="0" bestFit="1" customWidth="1"/>
  </cols>
  <sheetData>
    <row r="1" spans="1:24" ht="13.5" thickBo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ht="27" thickBot="1">
      <c r="A2" s="139"/>
      <c r="B2" s="678" t="s">
        <v>274</v>
      </c>
      <c r="C2" s="679"/>
      <c r="D2" s="679"/>
      <c r="E2" s="679"/>
      <c r="F2" s="679"/>
      <c r="G2" s="679"/>
      <c r="H2" s="679"/>
      <c r="I2" s="680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139"/>
      <c r="V2" s="139"/>
      <c r="W2" s="139"/>
      <c r="X2" s="139"/>
    </row>
    <row r="3" spans="1:24" ht="19.5">
      <c r="A3" s="139"/>
      <c r="B3" s="142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2:24" ht="19.5">
      <c r="B4" s="142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</row>
    <row r="5" spans="1:24" ht="13.5" thickBo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</row>
    <row r="6" spans="1:24" ht="13.5" thickBot="1">
      <c r="A6" s="139"/>
      <c r="B6" s="121" t="s">
        <v>275</v>
      </c>
      <c r="C6" s="369">
        <v>26011</v>
      </c>
      <c r="D6" s="138"/>
      <c r="F6" s="139"/>
      <c r="G6" s="123" t="s">
        <v>313</v>
      </c>
      <c r="H6" s="683" t="str">
        <f>IF($C$6="","",VLOOKUP($C$6,Lieferanten,2))</f>
        <v>Gebr. Bauser OHG</v>
      </c>
      <c r="I6" s="684"/>
      <c r="J6" s="139"/>
      <c r="K6" s="139"/>
      <c r="N6" s="139"/>
      <c r="O6" s="139"/>
      <c r="Q6" s="139"/>
      <c r="R6" s="139"/>
      <c r="S6" s="139"/>
      <c r="T6" s="139"/>
      <c r="U6" s="139"/>
      <c r="V6" s="139"/>
      <c r="W6" s="139"/>
      <c r="X6" s="139"/>
    </row>
    <row r="7" spans="1:24" ht="13.5" thickBot="1">
      <c r="A7" s="139"/>
      <c r="B7" s="121" t="s">
        <v>211</v>
      </c>
      <c r="C7" s="122"/>
      <c r="D7" s="139"/>
      <c r="E7" s="139"/>
      <c r="F7" s="139"/>
      <c r="G7" s="124" t="s">
        <v>73</v>
      </c>
      <c r="H7" s="685" t="str">
        <f>IF($C$6="","",VLOOKUP($C$6,Lieferanten,4))</f>
        <v>Alsterterrasse 2</v>
      </c>
      <c r="I7" s="686"/>
      <c r="J7" s="139"/>
      <c r="K7" s="139"/>
      <c r="N7" s="139"/>
      <c r="O7" s="139"/>
      <c r="Q7" s="139"/>
      <c r="R7" s="139"/>
      <c r="S7" s="139"/>
      <c r="T7" s="139"/>
      <c r="U7" s="139"/>
      <c r="V7" s="139"/>
      <c r="W7" s="139"/>
      <c r="X7" s="139"/>
    </row>
    <row r="8" spans="1:24" ht="13.5" thickBot="1">
      <c r="A8" s="139"/>
      <c r="D8" s="139"/>
      <c r="E8" s="139"/>
      <c r="F8" s="139"/>
      <c r="G8" s="124" t="s">
        <v>74</v>
      </c>
      <c r="H8" s="685" t="str">
        <f>IF($C$6="","",VLOOKUP($C$6,Lieferanten,5))</f>
        <v>20354 Hamburg</v>
      </c>
      <c r="I8" s="686"/>
      <c r="J8" s="139"/>
      <c r="K8" s="139"/>
      <c r="N8" s="139"/>
      <c r="O8" s="139"/>
      <c r="Q8" s="139"/>
      <c r="R8" s="139"/>
      <c r="S8" s="139"/>
      <c r="T8" s="139"/>
      <c r="U8" s="139"/>
      <c r="V8" s="139"/>
      <c r="W8" s="139"/>
      <c r="X8" s="139"/>
    </row>
    <row r="9" spans="1:24" ht="13.5" thickBot="1">
      <c r="A9" s="139"/>
      <c r="B9" s="121" t="s">
        <v>276</v>
      </c>
      <c r="C9" s="173" t="s">
        <v>321</v>
      </c>
      <c r="D9" s="140"/>
      <c r="E9" s="140"/>
      <c r="F9" s="140"/>
      <c r="G9" s="124" t="s">
        <v>338</v>
      </c>
      <c r="H9" s="687">
        <f>IF($C$6="","",VLOOKUP($C$6,Lieferanten,10))</f>
        <v>0.02</v>
      </c>
      <c r="I9" s="688"/>
      <c r="J9" s="139"/>
      <c r="K9" s="139"/>
      <c r="N9" s="139"/>
      <c r="O9" s="139"/>
      <c r="Q9" s="139"/>
      <c r="R9" s="139"/>
      <c r="S9" s="139"/>
      <c r="T9" s="139"/>
      <c r="U9" s="139"/>
      <c r="V9" s="139"/>
      <c r="W9" s="139"/>
      <c r="X9" s="139"/>
    </row>
    <row r="10" spans="1:24" ht="13.5" thickBot="1">
      <c r="A10" s="139"/>
      <c r="B10" s="232">
        <v>5002</v>
      </c>
      <c r="C10" s="172">
        <f>B10+1000</f>
        <v>6002</v>
      </c>
      <c r="D10" s="141"/>
      <c r="E10" s="141"/>
      <c r="F10" s="141"/>
      <c r="G10" s="125" t="s">
        <v>209</v>
      </c>
      <c r="H10" s="681"/>
      <c r="I10" s="682"/>
      <c r="J10" s="139"/>
      <c r="K10" s="139"/>
      <c r="N10" s="139"/>
      <c r="O10" s="139"/>
      <c r="Q10" s="139"/>
      <c r="R10" s="139"/>
      <c r="S10" s="139"/>
      <c r="T10" s="139"/>
      <c r="U10" s="139"/>
      <c r="V10" s="139"/>
      <c r="W10" s="139"/>
      <c r="X10" s="139"/>
    </row>
    <row r="11" spans="1:24" ht="16.5" customHeight="1">
      <c r="A11" s="139"/>
      <c r="B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Q11" s="139"/>
      <c r="R11" s="139"/>
      <c r="S11" s="139"/>
      <c r="T11" s="139"/>
      <c r="U11" s="139"/>
      <c r="V11" s="139"/>
      <c r="W11" s="139"/>
      <c r="X11" s="139"/>
    </row>
    <row r="12" spans="1:24" ht="16.5" customHeight="1">
      <c r="A12" s="139"/>
      <c r="B12" s="138"/>
      <c r="C12" s="139"/>
      <c r="D12" s="139"/>
      <c r="E12" s="140"/>
      <c r="F12" s="140"/>
      <c r="G12" s="141"/>
      <c r="H12" s="141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</row>
    <row r="13" spans="1:24" ht="20.25" customHeight="1" thickBot="1">
      <c r="A13" s="139"/>
      <c r="B13" s="138" t="b">
        <v>1</v>
      </c>
      <c r="C13" s="138" t="b">
        <v>1</v>
      </c>
      <c r="D13" s="138" t="b">
        <v>0</v>
      </c>
      <c r="E13" s="138" t="b">
        <v>0</v>
      </c>
      <c r="F13" s="138"/>
      <c r="G13" s="138">
        <v>2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</row>
    <row r="14" spans="1:24" ht="25.5">
      <c r="A14" s="139"/>
      <c r="B14" s="548" t="s">
        <v>75</v>
      </c>
      <c r="C14" s="549" t="s">
        <v>366</v>
      </c>
      <c r="D14" s="549" t="s">
        <v>317</v>
      </c>
      <c r="E14" s="549" t="s">
        <v>383</v>
      </c>
      <c r="F14" s="549" t="s">
        <v>353</v>
      </c>
      <c r="G14" s="549" t="s">
        <v>351</v>
      </c>
      <c r="H14" s="549" t="s">
        <v>318</v>
      </c>
      <c r="I14" s="549" t="s">
        <v>377</v>
      </c>
      <c r="J14" s="549" t="s">
        <v>375</v>
      </c>
      <c r="K14" s="549" t="s">
        <v>320</v>
      </c>
      <c r="L14" s="549" t="s">
        <v>374</v>
      </c>
      <c r="M14" s="549" t="s">
        <v>376</v>
      </c>
      <c r="N14" s="549" t="s">
        <v>311</v>
      </c>
      <c r="O14" s="549" t="s">
        <v>379</v>
      </c>
      <c r="P14" s="549" t="s">
        <v>378</v>
      </c>
      <c r="Q14" s="549" t="s">
        <v>373</v>
      </c>
      <c r="R14" s="553" t="s">
        <v>319</v>
      </c>
      <c r="U14" s="139"/>
      <c r="V14" s="139"/>
      <c r="W14" s="139"/>
      <c r="X14" s="139"/>
    </row>
    <row r="15" spans="1:24" ht="12.75">
      <c r="A15" s="139"/>
      <c r="B15" s="129" t="s">
        <v>76</v>
      </c>
      <c r="C15" s="130">
        <v>511020</v>
      </c>
      <c r="D15" s="130">
        <v>20</v>
      </c>
      <c r="E15" s="624">
        <f>IF(C15="","",ROUNDUP(D15/P15*Q15,1))</f>
        <v>20</v>
      </c>
      <c r="F15" s="126">
        <f>IF(C15="","",IF(J15="falsch","falsch",VLOOKUP($C15,Artikel,6)))</f>
        <v>120</v>
      </c>
      <c r="G15" s="126">
        <f>IF(C15="","",IF(J15="falsch","falsch",VLOOKUP(C15,Artikel,8)))</f>
        <v>250</v>
      </c>
      <c r="H15" s="233" t="str">
        <f>IF(C15="","",IF(J15="falsch","falsch",VLOOKUP(C15,Artikel,2)))</f>
        <v>Farbstifte, 6 Farben im Metalletui</v>
      </c>
      <c r="I15" s="234">
        <f>IF(C15="","",IF(J15="falsch","falsch",O15/P15*Q15))</f>
        <v>20.439984000000003</v>
      </c>
      <c r="J15" s="545">
        <f>IF(C15="","",IF(VLOOKUP(C15,Listenpreise,VLOOKUP($C$6,Lieferanten,11))=0,"falsch",VLOOKUP(C15,Listenpreise,VLOOKUP($C$6,Lieferanten,11))))</f>
        <v>24.44</v>
      </c>
      <c r="K15" s="235">
        <f>IF(C15="","",IF(VLOOKUP(C15,Rabatte,VLOOKUP($C$6,Lieferanten,11))=0,"falsch",VLOOKUP(C15,Rabatte,VLOOKUP($C$6,Lieferanten,11))))</f>
        <v>0.18</v>
      </c>
      <c r="L15" s="547">
        <f>IF(C15="","",IF(J15="falsch","falsch",J15*(1-K15)))</f>
        <v>20.0408</v>
      </c>
      <c r="M15" s="547">
        <f>IF(C15="","",IF(J15="falsch","falsch",L15*(1-$H$9)))</f>
        <v>19.639984000000002</v>
      </c>
      <c r="N15" s="234">
        <f>IF(C15="","",IF(J15="falsch","falsch",VLOOKUP(C15,Bezugskosten,VLOOKUP($C$6,Lieferanten,11))))</f>
        <v>0.8</v>
      </c>
      <c r="O15" s="234">
        <f>IF(C15="","",IF(J15="falsch","falsch",M15+N15))</f>
        <v>20.439984000000003</v>
      </c>
      <c r="P15" s="546">
        <f>IF(C15="","",IF(J15="falsch","falsch",VLOOKUP(C15,Packungsgrößen,VLOOKUP($C$6,Lieferanten,11))))</f>
        <v>10</v>
      </c>
      <c r="Q15" s="546">
        <f>IF(C15="","",IF(J15="falsch","falsch",VLOOKUP(C15,Artikel,3)))</f>
        <v>10</v>
      </c>
      <c r="R15" s="236">
        <f>IF(C15="","",IF(J15="falsch","falsch",VLOOKUP(C15,LiefANR,VLOOKUP($C$6,Lieferanten,11))))</f>
        <v>432510</v>
      </c>
      <c r="U15" s="540"/>
      <c r="V15" s="139"/>
      <c r="W15" s="139"/>
      <c r="X15" s="139"/>
    </row>
    <row r="16" spans="1:24" ht="12.75">
      <c r="A16" s="139"/>
      <c r="B16" s="129" t="s">
        <v>77</v>
      </c>
      <c r="C16" s="130">
        <v>512060</v>
      </c>
      <c r="D16" s="130">
        <v>50</v>
      </c>
      <c r="E16" s="624">
        <f>IF(C16="","",ROUNDUP(D16/P16*Q16,1))</f>
        <v>50</v>
      </c>
      <c r="F16" s="126">
        <f>IF(C16="","",IF(J16="falsch","falsch",VLOOKUP($C16,Artikel,6)))</f>
        <v>87</v>
      </c>
      <c r="G16" s="126">
        <f>IF(C16="","",IF(J16="falsch","falsch",VLOOKUP(C16,Artikel,8)))</f>
        <v>500</v>
      </c>
      <c r="H16" s="233" t="str">
        <f>IF(C16="","",IF(J16="falsch","falsch",VLOOKUP(C16,Artikel,2)))</f>
        <v>Druckkugelschreiber Nr. 200</v>
      </c>
      <c r="I16" s="234">
        <f>IF(C16="","",IF(J16="falsch","falsch",O16/P16*Q16))</f>
        <v>27.671459999999996</v>
      </c>
      <c r="J16" s="545">
        <f>IF(C16="","",IF(VLOOKUP(C16,Listenpreise,VLOOKUP($C$6,Lieferanten,11))=0,"falsch",VLOOKUP(C16,Listenpreise,VLOOKUP($C$6,Lieferanten,11))))</f>
        <v>29.55</v>
      </c>
      <c r="K16" s="235">
        <f>IF(C16="","",IF(VLOOKUP(C16,Rabatte,VLOOKUP($C$6,Lieferanten,11))=0,"falsch",VLOOKUP(C16,Rabatte,VLOOKUP($C$6,Lieferanten,11))))</f>
        <v>0.06</v>
      </c>
      <c r="L16" s="547">
        <f>IF(C16="","",IF(J16="falsch","falsch",J16*(1-K16)))</f>
        <v>27.776999999999997</v>
      </c>
      <c r="M16" s="547">
        <f>IF(C16="","",IF(J16="falsch","falsch",L16*(1-$H$9)))</f>
        <v>27.221459999999997</v>
      </c>
      <c r="N16" s="234">
        <f>IF(C16="","",IF(J16="falsch","falsch",VLOOKUP(C16,Bezugskosten,VLOOKUP($C$6,Lieferanten,11))))</f>
        <v>0.45</v>
      </c>
      <c r="O16" s="234">
        <f>IF(C16="","",IF(J16="falsch","falsch",M16+N16))</f>
        <v>27.671459999999996</v>
      </c>
      <c r="P16" s="546">
        <f>IF(C16="","",IF(J16="falsch","falsch",VLOOKUP(C16,Packungsgrößen,VLOOKUP($C$6,Lieferanten,11))))</f>
        <v>50</v>
      </c>
      <c r="Q16" s="546">
        <f>IF(C16="","",IF(J16="falsch","falsch",VLOOKUP(C16,Artikel,3)))</f>
        <v>50</v>
      </c>
      <c r="R16" s="236">
        <f>IF(C16="","",IF(J16="falsch","falsch",VLOOKUP(C16,LiefANR,VLOOKUP($C$6,Lieferanten,11))))</f>
        <v>432550</v>
      </c>
      <c r="U16" s="139"/>
      <c r="V16" s="139"/>
      <c r="W16" s="139"/>
      <c r="X16" s="139"/>
    </row>
    <row r="17" spans="1:24" ht="12.75">
      <c r="A17" s="139"/>
      <c r="B17" s="129" t="s">
        <v>202</v>
      </c>
      <c r="C17" s="130"/>
      <c r="D17" s="130"/>
      <c r="E17" s="624">
        <f>IF(C17="","",ROUNDUP(D17/P17*Q17,1))</f>
      </c>
      <c r="F17" s="126">
        <f>IF(C17="","",IF(J17="falsch","falsch",VLOOKUP($C17,Artikel,6)))</f>
      </c>
      <c r="G17" s="126">
        <f>IF(C17="","",IF(J17="falsch","falsch",VLOOKUP(C17,Artikel,8)))</f>
      </c>
      <c r="H17" s="233">
        <f>IF(C17="","",IF(J17="falsch","falsch",VLOOKUP(C17,Artikel,2)))</f>
      </c>
      <c r="I17" s="234">
        <f>IF(C17="","",IF(J17="falsch","falsch",O17/P17*Q17))</f>
      </c>
      <c r="J17" s="545">
        <f>IF(C17="","",IF(VLOOKUP(C17,Listenpreise,VLOOKUP($C$6,Lieferanten,11))=0,"falsch",VLOOKUP(C17,Listenpreise,VLOOKUP($C$6,Lieferanten,11))))</f>
      </c>
      <c r="K17" s="235">
        <f>IF(C17="","",IF(VLOOKUP(C17,Rabatte,VLOOKUP($C$6,Lieferanten,11))=0,"falsch",VLOOKUP(C17,Rabatte,VLOOKUP($C$6,Lieferanten,11))))</f>
      </c>
      <c r="L17" s="547">
        <f>IF(C17="","",IF(J17="falsch","falsch",J17*(1-K17)))</f>
      </c>
      <c r="M17" s="547">
        <f>IF(C17="","",IF(J17="falsch","falsch",L17*(1-$H$9)))</f>
      </c>
      <c r="N17" s="234">
        <f>IF(C17="","",IF(J17="falsch","falsch",VLOOKUP(C17,Bezugskosten,VLOOKUP($C$6,Lieferanten,11))))</f>
      </c>
      <c r="O17" s="234">
        <f>IF(C17="","",IF(J17="falsch","falsch",M17+N17))</f>
      </c>
      <c r="P17" s="546">
        <f>IF(C17="","",IF(J17="falsch","falsch",VLOOKUP(C17,Packungsgrößen,VLOOKUP($C$6,Lieferanten,11))))</f>
      </c>
      <c r="Q17" s="546">
        <f>IF(C17="","",IF(J17="falsch","falsch",VLOOKUP(C17,Artikel,3)))</f>
      </c>
      <c r="R17" s="236">
        <f>IF(C17="","",IF(J17="falsch","falsch",VLOOKUP(C17,LiefANR,VLOOKUP($C$6,Lieferanten,11))))</f>
      </c>
      <c r="U17" s="139"/>
      <c r="V17" s="139"/>
      <c r="W17" s="139"/>
      <c r="X17" s="139"/>
    </row>
    <row r="18" spans="1:24" ht="12.75">
      <c r="A18" s="139"/>
      <c r="B18" s="129" t="s">
        <v>203</v>
      </c>
      <c r="C18" s="130"/>
      <c r="D18" s="130"/>
      <c r="E18" s="624">
        <f>IF(C18="","",ROUNDUP(D18/P18*Q18,1))</f>
      </c>
      <c r="F18" s="126">
        <f>IF(C18="","",IF(J18="falsch","falsch",VLOOKUP($C18,Artikel,6)))</f>
      </c>
      <c r="G18" s="126">
        <f>IF(C18="","",IF(J18="falsch","falsch",VLOOKUP(C18,Artikel,8)))</f>
      </c>
      <c r="H18" s="233">
        <f>IF(C18="","",IF(J18="falsch","falsch",VLOOKUP(C18,Artikel,2)))</f>
      </c>
      <c r="I18" s="234">
        <f>IF(C18="","",IF(J18="falsch","falsch",O18/P18*Q18))</f>
      </c>
      <c r="J18" s="545">
        <f>IF(C18="","",IF(VLOOKUP(C18,Listenpreise,VLOOKUP($C$6,Lieferanten,11))=0,"falsch",VLOOKUP(C18,Listenpreise,VLOOKUP($C$6,Lieferanten,11))))</f>
      </c>
      <c r="K18" s="235">
        <f>IF(C18="","",IF(VLOOKUP(C18,Rabatte,VLOOKUP($C$6,Lieferanten,11))=0,"falsch",VLOOKUP(C18,Rabatte,VLOOKUP($C$6,Lieferanten,11))))</f>
      </c>
      <c r="L18" s="547">
        <f>IF(C18="","",IF(J18="falsch","falsch",J18*(1-K18)))</f>
      </c>
      <c r="M18" s="547">
        <f>IF(C18="","",IF(J18="falsch","falsch",L18*(1-$H$9)))</f>
      </c>
      <c r="N18" s="234">
        <f>IF(C18="","",IF(J18="falsch","falsch",VLOOKUP(C18,Bezugskosten,VLOOKUP($C$6,Lieferanten,11))))</f>
      </c>
      <c r="O18" s="234">
        <f>IF(C18="","",IF(J18="falsch","falsch",M18+N18))</f>
      </c>
      <c r="P18" s="546">
        <f>IF(C18="","",IF(J18="falsch","falsch",VLOOKUP(C18,Packungsgrößen,VLOOKUP($C$6,Lieferanten,11))))</f>
      </c>
      <c r="Q18" s="546">
        <f>IF(C18="","",IF(J18="falsch","falsch",VLOOKUP(C18,Artikel,3)))</f>
      </c>
      <c r="R18" s="236">
        <f>IF(C18="","",IF(J18="falsch","falsch",VLOOKUP(C18,LiefANR,VLOOKUP($C$6,Lieferanten,11))))</f>
      </c>
      <c r="U18" s="139"/>
      <c r="V18" s="139"/>
      <c r="W18" s="139"/>
      <c r="X18" s="139"/>
    </row>
    <row r="19" spans="1:24" ht="13.5" thickBot="1">
      <c r="A19" s="139"/>
      <c r="B19" s="363" t="s">
        <v>204</v>
      </c>
      <c r="C19" s="365"/>
      <c r="D19" s="365"/>
      <c r="E19" s="625">
        <f>IF(C19="","",ROUNDUP(D19/P19*Q19,1))</f>
      </c>
      <c r="F19" s="366">
        <f>IF(C19="","",IF(J19="falsch","falsch",VLOOKUP($C19,Artikel,6)))</f>
      </c>
      <c r="G19" s="366">
        <f>IF(C19="","",IF(J19="falsch","falsch",VLOOKUP(C19,Artikel,8)))</f>
      </c>
      <c r="H19" s="386">
        <f>IF(C19="","",IF(J19="falsch","falsch",VLOOKUP(C19,Artikel,2)))</f>
      </c>
      <c r="I19" s="387">
        <f>IF(C19="","",IF(J19="falsch","falsch",O19/P19*Q19))</f>
      </c>
      <c r="J19" s="550">
        <f>IF(C19="","",IF(VLOOKUP(C19,Listenpreise,VLOOKUP($C$6,Lieferanten,11))=0,"falsch",VLOOKUP(C19,Listenpreise,VLOOKUP($C$6,Lieferanten,11))))</f>
      </c>
      <c r="K19" s="388">
        <f>IF(C19="","",IF(VLOOKUP(C19,Rabatte,VLOOKUP($C$6,Lieferanten,11))=0,"falsch",VLOOKUP(C19,Rabatte,VLOOKUP($C$6,Lieferanten,11))))</f>
      </c>
      <c r="L19" s="552">
        <f>IF(C19="","",IF(J19="falsch","falsch",J19*(1-K19)))</f>
      </c>
      <c r="M19" s="552">
        <f>IF(C19="","",IF(J19="falsch","falsch",L19*(1-$H$9)))</f>
      </c>
      <c r="N19" s="387">
        <f>IF(C19="","",IF(J19="falsch","falsch",VLOOKUP(C19,Bezugskosten,VLOOKUP($C$6,Lieferanten,11))))</f>
      </c>
      <c r="O19" s="387">
        <f>IF(C19="","",IF(J19="falsch","falsch",M19+N19))</f>
      </c>
      <c r="P19" s="551">
        <f>IF(C19="","",IF(J19="falsch","falsch",VLOOKUP(C19,Packungsgrößen,VLOOKUP($C$6,Lieferanten,11))))</f>
      </c>
      <c r="Q19" s="551">
        <f>IF(C19="","",IF(J19="falsch","falsch",VLOOKUP(C19,Artikel,3)))</f>
      </c>
      <c r="R19" s="389">
        <f>IF(C19="","",IF(J19="falsch","falsch",VLOOKUP(C19,LiefANR,VLOOKUP($C$6,Lieferanten,11))))</f>
      </c>
      <c r="U19" s="139"/>
      <c r="V19" s="139"/>
      <c r="W19" s="139"/>
      <c r="X19" s="139"/>
    </row>
    <row r="20" spans="1:24" ht="12.75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</row>
    <row r="21" spans="1:24" ht="12.7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</row>
    <row r="22" spans="1:24" ht="12.7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</row>
    <row r="23" spans="1:24" ht="12.7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</row>
    <row r="24" spans="1:24" ht="12.7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</row>
    <row r="25" spans="1:24" ht="12.7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</row>
    <row r="26" spans="1:24" ht="12.7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</row>
    <row r="27" spans="1:24" ht="12.7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</row>
    <row r="28" spans="1:24" ht="12.7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</row>
    <row r="29" spans="1:24" ht="12.7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</row>
    <row r="30" spans="1:24" ht="12.7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</row>
    <row r="31" spans="1:24" ht="12.7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</row>
  </sheetData>
  <mergeCells count="6">
    <mergeCell ref="B2:I2"/>
    <mergeCell ref="H10:I10"/>
    <mergeCell ref="H6:I6"/>
    <mergeCell ref="H7:I7"/>
    <mergeCell ref="H8:I8"/>
    <mergeCell ref="H9:I9"/>
  </mergeCells>
  <dataValidations count="2">
    <dataValidation type="list" allowBlank="1" showInputMessage="1" showErrorMessage="1" sqref="C6">
      <formula1>LNR</formula1>
    </dataValidation>
    <dataValidation type="list" allowBlank="1" showInputMessage="1" showErrorMessage="1" sqref="C15:C19">
      <formula1>ANR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2"/>
  <dimension ref="A1:G70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20.28125" style="0" customWidth="1"/>
    <col min="3" max="3" width="22.140625" style="0" customWidth="1"/>
    <col min="4" max="4" width="15.421875" style="0" customWidth="1"/>
    <col min="5" max="5" width="16.28125" style="0" bestFit="1" customWidth="1"/>
    <col min="6" max="6" width="10.7109375" style="0" customWidth="1"/>
    <col min="7" max="7" width="12.140625" style="0" bestFit="1" customWidth="1"/>
  </cols>
  <sheetData>
    <row r="1" spans="1:6" ht="30.75" thickBot="1">
      <c r="A1" s="118" t="s">
        <v>41</v>
      </c>
      <c r="B1" s="119"/>
      <c r="C1" s="119"/>
      <c r="D1" s="119"/>
      <c r="E1" s="119"/>
      <c r="F1" s="120"/>
    </row>
    <row r="2" spans="1:7" ht="12.75">
      <c r="A2" s="689" t="s">
        <v>42</v>
      </c>
      <c r="B2" s="689"/>
      <c r="C2" s="689"/>
      <c r="D2" s="689"/>
      <c r="E2" s="689"/>
      <c r="F2" s="689"/>
      <c r="G2" s="8"/>
    </row>
    <row r="3" spans="1:7" ht="12.75">
      <c r="A3" s="9"/>
      <c r="C3" s="10"/>
      <c r="D3" s="10"/>
      <c r="G3" s="8"/>
    </row>
    <row r="4" spans="1:7" ht="12.75">
      <c r="A4" s="690" t="s">
        <v>43</v>
      </c>
      <c r="B4" s="690"/>
      <c r="C4" s="690"/>
      <c r="D4" s="10"/>
      <c r="G4" s="8"/>
    </row>
    <row r="5" spans="1:7" ht="12.75">
      <c r="A5" s="11"/>
      <c r="B5" s="12"/>
      <c r="C5" s="13"/>
      <c r="D5" s="10"/>
      <c r="G5" s="8"/>
    </row>
    <row r="6" spans="1:7" ht="12.75">
      <c r="A6" s="9"/>
      <c r="C6" s="10"/>
      <c r="D6" s="10"/>
      <c r="G6" s="8"/>
    </row>
    <row r="7" spans="4:7" ht="12.75">
      <c r="D7" s="10"/>
      <c r="G7" s="8"/>
    </row>
    <row r="8" spans="1:7" ht="15">
      <c r="A8" s="691" t="str">
        <f>IF(C17="","",Einkauf!H6)</f>
        <v>Gebr. Bauser OHG</v>
      </c>
      <c r="B8" s="691"/>
      <c r="C8" s="691"/>
      <c r="D8" s="10"/>
      <c r="G8" s="8"/>
    </row>
    <row r="9" spans="1:7" ht="15">
      <c r="A9" s="200" t="str">
        <f>IF(C17="","",Einkauf!H7)</f>
        <v>Alsterterrasse 2</v>
      </c>
      <c r="B9" s="200"/>
      <c r="C9" s="200"/>
      <c r="D9" s="10"/>
      <c r="G9" s="8"/>
    </row>
    <row r="10" spans="1:7" ht="15">
      <c r="A10" s="691" t="str">
        <f>IF(C17="","",Einkauf!H8)</f>
        <v>20354 Hamburg</v>
      </c>
      <c r="B10" s="691"/>
      <c r="C10" s="691"/>
      <c r="D10" s="10"/>
      <c r="G10" s="8"/>
    </row>
    <row r="11" spans="1:7" ht="12.75">
      <c r="A11" s="14"/>
      <c r="C11" s="10"/>
      <c r="D11" s="10"/>
      <c r="G11" s="8"/>
    </row>
    <row r="12" spans="1:7" ht="12.75">
      <c r="A12" s="14"/>
      <c r="C12" s="10"/>
      <c r="D12" s="10"/>
      <c r="G12" s="8"/>
    </row>
    <row r="13" spans="1:7" ht="12.75">
      <c r="A13" s="15"/>
      <c r="B13" s="16"/>
      <c r="C13" s="17"/>
      <c r="D13" s="10"/>
      <c r="G13" s="8"/>
    </row>
    <row r="14" spans="1:7" ht="12.75">
      <c r="A14" s="9"/>
      <c r="C14" s="10"/>
      <c r="D14" s="10"/>
      <c r="G14" s="8"/>
    </row>
    <row r="15" spans="1:7" ht="6.75" customHeight="1" thickBot="1">
      <c r="A15" s="9"/>
      <c r="C15" s="10"/>
      <c r="D15" s="10"/>
      <c r="G15" s="8"/>
    </row>
    <row r="16" spans="1:7" ht="15.75">
      <c r="A16" s="158" t="s">
        <v>44</v>
      </c>
      <c r="B16" s="159"/>
      <c r="C16" s="160" t="s">
        <v>296</v>
      </c>
      <c r="D16" s="161" t="s">
        <v>45</v>
      </c>
      <c r="E16" s="159"/>
      <c r="F16" s="167" t="s">
        <v>46</v>
      </c>
      <c r="G16" s="8"/>
    </row>
    <row r="17" spans="1:7" s="198" customFormat="1" ht="13.5" customHeight="1" thickBot="1">
      <c r="A17" s="692"/>
      <c r="B17" s="693"/>
      <c r="C17" s="195">
        <f>IF(Einkauf!B13=TRUE,Einkauf!C6,"")</f>
        <v>26011</v>
      </c>
      <c r="D17" s="196" t="str">
        <f>IF(C17="","",VLOOKUP(Einkauf!G13,BeraterEinkauf,3))</f>
        <v>309 Evelyn Schefer</v>
      </c>
      <c r="E17" s="194"/>
      <c r="F17" s="197"/>
      <c r="G17" s="199"/>
    </row>
    <row r="18" spans="1:7" ht="15.75">
      <c r="A18" s="162"/>
      <c r="B18" s="143"/>
      <c r="C18" s="181"/>
      <c r="D18" s="162"/>
      <c r="E18" s="143"/>
      <c r="F18" s="166"/>
      <c r="G18" s="8"/>
    </row>
    <row r="19" spans="1:7" ht="22.5">
      <c r="A19" s="18" t="str">
        <f>"Anfrage-Nr. "&amp;IF(C17="","",Einkauf!B10)</f>
        <v>Anfrage-Nr. 5002</v>
      </c>
      <c r="B19" s="143"/>
      <c r="C19" s="426"/>
      <c r="D19" s="162"/>
      <c r="E19" s="143"/>
      <c r="F19" s="166"/>
      <c r="G19" s="8"/>
    </row>
    <row r="20" spans="2:7" ht="15.75">
      <c r="B20" s="143"/>
      <c r="C20" s="181"/>
      <c r="D20" s="162"/>
      <c r="E20" s="143"/>
      <c r="F20" s="166"/>
      <c r="G20" s="8"/>
    </row>
    <row r="21" spans="1:7" ht="15.75">
      <c r="A21" s="162"/>
      <c r="B21" s="143"/>
      <c r="C21" s="181"/>
      <c r="D21" s="162"/>
      <c r="E21" s="143"/>
      <c r="F21" s="166"/>
      <c r="G21" s="8"/>
    </row>
    <row r="22" spans="1:7" ht="15.75">
      <c r="A22" s="290" t="s">
        <v>297</v>
      </c>
      <c r="B22" s="143"/>
      <c r="C22" s="181"/>
      <c r="D22" s="162"/>
      <c r="E22" s="143"/>
      <c r="F22" s="166"/>
      <c r="G22" s="8"/>
    </row>
    <row r="23" spans="1:7" ht="15.75">
      <c r="A23" s="182"/>
      <c r="B23" s="143"/>
      <c r="C23" s="180"/>
      <c r="D23" s="147"/>
      <c r="E23" s="143"/>
      <c r="F23" s="143"/>
      <c r="G23" s="8"/>
    </row>
    <row r="24" spans="1:7" ht="15.75">
      <c r="A24" s="290" t="s">
        <v>298</v>
      </c>
      <c r="B24" s="143"/>
      <c r="C24" s="180"/>
      <c r="D24" s="147"/>
      <c r="E24" s="143"/>
      <c r="F24" s="143"/>
      <c r="G24" s="8"/>
    </row>
    <row r="25" spans="1:7" ht="16.5" thickBot="1">
      <c r="A25" s="183"/>
      <c r="B25" s="143"/>
      <c r="C25" s="180"/>
      <c r="D25" s="147"/>
      <c r="E25" s="143"/>
      <c r="F25" s="143"/>
      <c r="G25" s="8"/>
    </row>
    <row r="26" spans="1:7" ht="15.75">
      <c r="A26" s="576" t="s">
        <v>49</v>
      </c>
      <c r="B26" s="694" t="s">
        <v>299</v>
      </c>
      <c r="C26" s="694"/>
      <c r="D26" s="694"/>
      <c r="E26" s="577" t="s">
        <v>300</v>
      </c>
      <c r="F26" s="143"/>
      <c r="G26" s="8"/>
    </row>
    <row r="27" spans="1:7" ht="25.5" customHeight="1">
      <c r="A27" s="292">
        <f>IF(OR(Einkauf!C15="",C17=""),"",1)</f>
        <v>1</v>
      </c>
      <c r="B27" s="695" t="str">
        <f>IF($A27="","",Einkauf!H15)</f>
        <v>Farbstifte, 6 Farben im Metalletui</v>
      </c>
      <c r="C27" s="695"/>
      <c r="D27" s="695"/>
      <c r="E27" s="554">
        <f>IF($A27="","",ROUNDUP(Einkauf!D15/Einkauf!P15*Einkauf!Q15,0))</f>
        <v>20</v>
      </c>
      <c r="F27" s="291"/>
      <c r="G27" s="8"/>
    </row>
    <row r="28" spans="1:7" ht="25.5" customHeight="1">
      <c r="A28" s="292">
        <f>IF(AND(Einkauf!C16&lt;&gt;"",$C$17&lt;&gt;""),2,"")</f>
        <v>2</v>
      </c>
      <c r="B28" s="695" t="str">
        <f>IF($A28="","",Einkauf!H16)</f>
        <v>Druckkugelschreiber Nr. 200</v>
      </c>
      <c r="C28" s="695"/>
      <c r="D28" s="695"/>
      <c r="E28" s="554">
        <f>IF($A28="","",ROUNDUP(Einkauf!D16/Einkauf!P16*Einkauf!Q16,0))</f>
        <v>50</v>
      </c>
      <c r="F28" s="291"/>
      <c r="G28" s="8"/>
    </row>
    <row r="29" spans="1:7" ht="26.25" customHeight="1">
      <c r="A29" s="292">
        <f>IF(AND(Einkauf!C17&lt;&gt;"",$C$17&lt;&gt;""),3,"")</f>
      </c>
      <c r="B29" s="695">
        <f>IF($A29="","",Einkauf!H17)</f>
      </c>
      <c r="C29" s="695"/>
      <c r="D29" s="695"/>
      <c r="E29" s="554">
        <f>IF($A29="","",ROUNDUP(Einkauf!D17/Einkauf!P17*Einkauf!Q17,0))</f>
      </c>
      <c r="F29" s="291"/>
      <c r="G29" s="8"/>
    </row>
    <row r="30" spans="1:7" ht="25.5" customHeight="1">
      <c r="A30" s="292">
        <f>IF(AND(Einkauf!C18&lt;&gt;"",$C$17&lt;&gt;""),4,"")</f>
      </c>
      <c r="B30" s="695">
        <f>IF($A30="","",Einkauf!H18)</f>
      </c>
      <c r="C30" s="695"/>
      <c r="D30" s="695"/>
      <c r="E30" s="554">
        <f>IF($A30="","",ROUNDUP(Einkauf!D18/Einkauf!P18*Einkauf!Q18,0))</f>
      </c>
      <c r="F30" s="291"/>
      <c r="G30" s="8"/>
    </row>
    <row r="31" spans="1:7" ht="26.25" customHeight="1" thickBot="1">
      <c r="A31" s="293">
        <f>IF(AND(Einkauf!C19&lt;&gt;"",$C$17&lt;&gt;""),5,"")</f>
      </c>
      <c r="B31" s="696">
        <f>IF($A31="","",Einkauf!H19)</f>
      </c>
      <c r="C31" s="696"/>
      <c r="D31" s="696"/>
      <c r="E31" s="555">
        <f>IF($A31="","",ROUNDUP(Einkauf!D19/Einkauf!P19*Einkauf!Q19,0))</f>
      </c>
      <c r="F31" s="291"/>
      <c r="G31" s="8"/>
    </row>
    <row r="32" ht="12.75">
      <c r="G32" s="8"/>
    </row>
    <row r="33" ht="15.75" customHeight="1">
      <c r="G33" s="8"/>
    </row>
    <row r="34" spans="1:7" ht="15.75" customHeight="1">
      <c r="A34" s="290" t="s">
        <v>301</v>
      </c>
      <c r="B34" s="290"/>
      <c r="C34" s="290"/>
      <c r="D34" s="290"/>
      <c r="E34" s="290"/>
      <c r="F34" s="290"/>
      <c r="G34" s="8"/>
    </row>
    <row r="35" spans="1:7" ht="12.75" customHeight="1">
      <c r="A35" s="290" t="s">
        <v>302</v>
      </c>
      <c r="B35" s="290"/>
      <c r="C35" s="290"/>
      <c r="D35" s="290"/>
      <c r="E35" s="290"/>
      <c r="F35" s="290"/>
      <c r="G35" s="8"/>
    </row>
    <row r="36" spans="1:7" ht="12.75">
      <c r="A36" s="163"/>
      <c r="B36" s="186"/>
      <c r="C36" s="187"/>
      <c r="D36" s="187"/>
      <c r="E36" s="186"/>
      <c r="F36" s="186"/>
      <c r="G36" s="8"/>
    </row>
    <row r="37" spans="1:7" ht="12.75">
      <c r="A37" s="163"/>
      <c r="B37" s="186"/>
      <c r="C37" s="187"/>
      <c r="D37" s="187"/>
      <c r="E37" s="186"/>
      <c r="F37" s="186"/>
      <c r="G37" s="8"/>
    </row>
    <row r="38" spans="1:7" ht="12.75">
      <c r="A38" s="163"/>
      <c r="B38" s="186"/>
      <c r="C38" s="187"/>
      <c r="D38" s="187"/>
      <c r="E38" s="186"/>
      <c r="F38" s="186"/>
      <c r="G38" s="8"/>
    </row>
    <row r="39" spans="1:7" ht="12.75">
      <c r="A39" s="163"/>
      <c r="B39" s="186"/>
      <c r="C39" s="187"/>
      <c r="D39" s="187"/>
      <c r="E39" s="186"/>
      <c r="F39" s="186"/>
      <c r="G39" s="8"/>
    </row>
    <row r="40" spans="1:7" ht="12.75">
      <c r="A40" s="163"/>
      <c r="B40" s="186"/>
      <c r="C40" s="187"/>
      <c r="D40" s="187"/>
      <c r="E40" s="186"/>
      <c r="F40" s="186"/>
      <c r="G40" s="8"/>
    </row>
    <row r="41" spans="1:7" ht="12.75" customHeight="1">
      <c r="A41" s="290" t="s">
        <v>240</v>
      </c>
      <c r="B41" s="290"/>
      <c r="C41" s="290"/>
      <c r="D41" s="290"/>
      <c r="E41" s="290"/>
      <c r="F41" s="290"/>
      <c r="G41" s="8"/>
    </row>
    <row r="42" spans="1:7" ht="12.75">
      <c r="A42" s="290"/>
      <c r="B42" s="290"/>
      <c r="C42" s="290"/>
      <c r="D42" s="290"/>
      <c r="E42" s="290"/>
      <c r="F42" s="290"/>
      <c r="G42" s="8"/>
    </row>
    <row r="43" spans="1:7" ht="12.75" customHeight="1">
      <c r="A43" s="290" t="s">
        <v>241</v>
      </c>
      <c r="B43" s="290"/>
      <c r="C43" s="290"/>
      <c r="D43" s="290"/>
      <c r="E43" s="290"/>
      <c r="F43" s="290"/>
      <c r="G43" s="8"/>
    </row>
    <row r="44" spans="1:7" ht="12.75">
      <c r="A44" s="189"/>
      <c r="B44" s="190"/>
      <c r="C44" s="191"/>
      <c r="D44" s="191"/>
      <c r="E44" s="190"/>
      <c r="F44" s="190"/>
      <c r="G44" s="8"/>
    </row>
    <row r="45" spans="1:7" ht="22.5">
      <c r="A45" s="697" t="str">
        <f>VLOOKUP(Einkauf!G13,BeraterEinkauf,4)</f>
        <v>E. Schefer</v>
      </c>
      <c r="B45" s="697"/>
      <c r="C45" s="697"/>
      <c r="D45" s="697"/>
      <c r="E45" s="697"/>
      <c r="F45" s="697"/>
      <c r="G45" s="8"/>
    </row>
    <row r="46" spans="1:7" ht="12.75">
      <c r="A46" s="185"/>
      <c r="B46" s="190"/>
      <c r="C46" s="191"/>
      <c r="D46" s="191"/>
      <c r="E46" s="190"/>
      <c r="F46" s="190"/>
      <c r="G46" s="8"/>
    </row>
    <row r="47" spans="1:7" ht="12.75" customHeight="1">
      <c r="A47" s="290" t="str">
        <f>VLOOKUP(Einkauf!G13,BeraterEinkauf,5)</f>
        <v>i. A. Evelyn Schefer</v>
      </c>
      <c r="B47" s="290"/>
      <c r="C47" s="290"/>
      <c r="D47" s="290"/>
      <c r="E47" s="290"/>
      <c r="F47" s="290"/>
      <c r="G47" s="8"/>
    </row>
    <row r="48" spans="1:7" ht="12.75" customHeight="1">
      <c r="A48" s="290"/>
      <c r="B48" s="290"/>
      <c r="C48" s="290"/>
      <c r="D48" s="290"/>
      <c r="E48" s="290"/>
      <c r="F48" s="290"/>
      <c r="G48" s="8"/>
    </row>
    <row r="49" spans="1:7" ht="16.5" thickBot="1">
      <c r="A49" s="184"/>
      <c r="B49" s="184"/>
      <c r="C49" s="184"/>
      <c r="D49" s="184"/>
      <c r="E49" s="184"/>
      <c r="F49" s="184"/>
      <c r="G49" s="8"/>
    </row>
    <row r="50" spans="1:7" ht="12.75">
      <c r="A50" s="41" t="s">
        <v>54</v>
      </c>
      <c r="B50" s="42"/>
      <c r="C50" s="43" t="s">
        <v>55</v>
      </c>
      <c r="D50" s="43" t="s">
        <v>56</v>
      </c>
      <c r="E50" s="42" t="s">
        <v>57</v>
      </c>
      <c r="F50" s="44"/>
      <c r="G50" s="8"/>
    </row>
    <row r="51" spans="1:7" ht="12.75">
      <c r="A51" s="9" t="s">
        <v>58</v>
      </c>
      <c r="C51" s="10" t="s">
        <v>59</v>
      </c>
      <c r="D51" s="10" t="s">
        <v>60</v>
      </c>
      <c r="E51" t="s">
        <v>61</v>
      </c>
      <c r="G51" s="8"/>
    </row>
    <row r="52" spans="1:7" ht="12.75">
      <c r="A52" s="9" t="s">
        <v>16</v>
      </c>
      <c r="C52" s="45" t="s">
        <v>62</v>
      </c>
      <c r="D52" s="10" t="s">
        <v>63</v>
      </c>
      <c r="E52" t="s">
        <v>64</v>
      </c>
      <c r="G52" s="8"/>
    </row>
    <row r="53" spans="1:7" ht="12.75">
      <c r="A53" s="9" t="s">
        <v>65</v>
      </c>
      <c r="C53" s="45" t="s">
        <v>66</v>
      </c>
      <c r="D53" s="46" t="s">
        <v>67</v>
      </c>
      <c r="G53" s="8"/>
    </row>
    <row r="54" spans="1:7" ht="12.75">
      <c r="A54" s="9"/>
      <c r="C54" s="10"/>
      <c r="D54" s="10"/>
      <c r="G54" s="8"/>
    </row>
    <row r="55" spans="1:7" ht="12.75">
      <c r="A55" s="9"/>
      <c r="C55" s="10"/>
      <c r="D55" s="10"/>
      <c r="G55" s="8"/>
    </row>
    <row r="56" spans="1:7" ht="12.75">
      <c r="A56" s="9"/>
      <c r="C56" s="10"/>
      <c r="D56" s="10"/>
      <c r="G56" s="8"/>
    </row>
    <row r="57" spans="1:7" ht="12.75">
      <c r="A57" s="9"/>
      <c r="C57" s="10"/>
      <c r="D57" s="10"/>
      <c r="G57" s="8"/>
    </row>
    <row r="58" spans="1:7" ht="12.75">
      <c r="A58" s="9"/>
      <c r="C58" s="10"/>
      <c r="D58" s="10"/>
      <c r="G58" s="8"/>
    </row>
    <row r="59" spans="1:7" ht="12.75">
      <c r="A59" s="9"/>
      <c r="C59" s="10"/>
      <c r="D59" s="10"/>
      <c r="G59" s="8"/>
    </row>
    <row r="60" spans="1:7" ht="12.75">
      <c r="A60" s="9"/>
      <c r="C60" s="10"/>
      <c r="D60" s="10"/>
      <c r="G60" s="8"/>
    </row>
    <row r="61" spans="1:7" ht="12.75">
      <c r="A61" s="9"/>
      <c r="C61" s="10"/>
      <c r="D61" s="10"/>
      <c r="G61" s="8"/>
    </row>
    <row r="62" spans="1:7" ht="12.75">
      <c r="A62" s="9"/>
      <c r="C62" s="10"/>
      <c r="D62" s="10"/>
      <c r="G62" s="8"/>
    </row>
    <row r="63" spans="1:7" ht="12.75">
      <c r="A63" s="9"/>
      <c r="C63" s="10"/>
      <c r="D63" s="10"/>
      <c r="G63" s="8"/>
    </row>
    <row r="64" spans="1:7" ht="12.75">
      <c r="A64" s="9"/>
      <c r="C64" s="10"/>
      <c r="D64" s="10"/>
      <c r="G64" s="8"/>
    </row>
    <row r="65" spans="1:7" ht="12.75">
      <c r="A65" s="9"/>
      <c r="C65" s="10"/>
      <c r="D65" s="10"/>
      <c r="G65" s="8"/>
    </row>
    <row r="66" spans="1:7" ht="12.75">
      <c r="A66" s="9"/>
      <c r="C66" s="10"/>
      <c r="D66" s="10"/>
      <c r="G66" s="8"/>
    </row>
    <row r="67" spans="1:7" ht="12.75">
      <c r="A67" s="9"/>
      <c r="C67" s="10"/>
      <c r="D67" s="10"/>
      <c r="G67" s="8"/>
    </row>
    <row r="70" ht="12.75">
      <c r="G70" s="10"/>
    </row>
  </sheetData>
  <mergeCells count="12">
    <mergeCell ref="B29:D29"/>
    <mergeCell ref="B30:D30"/>
    <mergeCell ref="B31:D31"/>
    <mergeCell ref="A45:F45"/>
    <mergeCell ref="A17:B17"/>
    <mergeCell ref="B26:D26"/>
    <mergeCell ref="B27:D27"/>
    <mergeCell ref="B28:D28"/>
    <mergeCell ref="A2:F2"/>
    <mergeCell ref="A4:C4"/>
    <mergeCell ref="A8:C8"/>
    <mergeCell ref="A10:C10"/>
  </mergeCells>
  <printOptions/>
  <pageMargins left="0.67" right="0.37" top="0.29" bottom="0.26" header="0.22" footer="0.24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1:H70"/>
  <sheetViews>
    <sheetView showGridLines="0" showRowColHeaders="0" workbookViewId="0" topLeftCell="A1">
      <selection activeCell="A1" sqref="A1:G1"/>
    </sheetView>
  </sheetViews>
  <sheetFormatPr defaultColWidth="11.421875" defaultRowHeight="12.75"/>
  <cols>
    <col min="1" max="1" width="6.00390625" style="186" customWidth="1"/>
    <col min="2" max="2" width="11.57421875" style="186" customWidth="1"/>
    <col min="3" max="3" width="26.8515625" style="186" customWidth="1"/>
    <col min="4" max="4" width="20.140625" style="186" bestFit="1" customWidth="1"/>
    <col min="5" max="5" width="9.140625" style="186" customWidth="1"/>
    <col min="6" max="6" width="10.7109375" style="186" customWidth="1"/>
    <col min="7" max="7" width="11.28125" style="186" customWidth="1"/>
    <col min="8" max="8" width="12.140625" style="186" bestFit="1" customWidth="1"/>
    <col min="9" max="16384" width="11.421875" style="186" customWidth="1"/>
  </cols>
  <sheetData>
    <row r="1" spans="1:7" ht="30.75" thickBot="1">
      <c r="A1" s="698" t="s">
        <v>41</v>
      </c>
      <c r="B1" s="699"/>
      <c r="C1" s="699"/>
      <c r="D1" s="699"/>
      <c r="E1" s="699"/>
      <c r="F1" s="699"/>
      <c r="G1" s="700"/>
    </row>
    <row r="2" spans="1:8" ht="12.75">
      <c r="A2" s="701" t="s">
        <v>42</v>
      </c>
      <c r="B2" s="701"/>
      <c r="C2" s="701"/>
      <c r="D2" s="701"/>
      <c r="E2" s="701"/>
      <c r="F2" s="701"/>
      <c r="H2" s="294"/>
    </row>
    <row r="3" spans="1:8" ht="12.75">
      <c r="A3" s="163"/>
      <c r="C3" s="187"/>
      <c r="D3" s="187"/>
      <c r="H3" s="294"/>
    </row>
    <row r="4" spans="1:8" ht="12.75">
      <c r="A4" s="702" t="s">
        <v>43</v>
      </c>
      <c r="B4" s="702"/>
      <c r="C4" s="702"/>
      <c r="D4" s="187"/>
      <c r="H4" s="294"/>
    </row>
    <row r="5" spans="1:8" ht="12.75">
      <c r="A5" s="295"/>
      <c r="B5" s="296"/>
      <c r="C5" s="297"/>
      <c r="D5" s="187"/>
      <c r="H5" s="294"/>
    </row>
    <row r="6" spans="1:8" ht="12.75">
      <c r="A6" s="163"/>
      <c r="C6" s="187"/>
      <c r="D6" s="187"/>
      <c r="H6" s="294"/>
    </row>
    <row r="7" spans="4:8" ht="12.75">
      <c r="D7" s="187"/>
      <c r="H7" s="294"/>
    </row>
    <row r="8" spans="1:8" ht="12.75">
      <c r="A8" s="703" t="str">
        <f>IF(C17="","",Einkauf!H6)</f>
        <v>Gebr. Bauser OHG</v>
      </c>
      <c r="B8" s="703"/>
      <c r="C8" s="703"/>
      <c r="D8" s="187"/>
      <c r="H8" s="294"/>
    </row>
    <row r="9" spans="1:8" ht="12.75">
      <c r="A9" s="353" t="str">
        <f>IF(C17="","",Einkauf!H7)</f>
        <v>Alsterterrasse 2</v>
      </c>
      <c r="B9" s="353"/>
      <c r="C9" s="353"/>
      <c r="D9" s="187"/>
      <c r="H9" s="294"/>
    </row>
    <row r="10" spans="1:8" ht="12.75">
      <c r="A10" s="703" t="str">
        <f>IF(C17="","",Einkauf!H8)</f>
        <v>20354 Hamburg</v>
      </c>
      <c r="B10" s="703"/>
      <c r="C10" s="703"/>
      <c r="D10" s="187"/>
      <c r="H10" s="294"/>
    </row>
    <row r="11" spans="1:8" ht="12.75">
      <c r="A11" s="298"/>
      <c r="C11" s="187"/>
      <c r="D11" s="187"/>
      <c r="H11" s="294"/>
    </row>
    <row r="12" spans="1:8" ht="12.75">
      <c r="A12" s="298"/>
      <c r="C12" s="187"/>
      <c r="D12" s="187"/>
      <c r="H12" s="294"/>
    </row>
    <row r="13" spans="1:8" ht="12.75">
      <c r="A13" s="299"/>
      <c r="B13" s="300"/>
      <c r="C13" s="301"/>
      <c r="D13" s="187"/>
      <c r="H13" s="294"/>
    </row>
    <row r="14" spans="1:8" ht="12.75">
      <c r="A14" s="163"/>
      <c r="C14" s="187"/>
      <c r="D14" s="187"/>
      <c r="H14" s="294"/>
    </row>
    <row r="15" spans="1:8" ht="6.75" customHeight="1">
      <c r="A15" s="163"/>
      <c r="C15" s="187"/>
      <c r="D15" s="187"/>
      <c r="H15" s="294"/>
    </row>
    <row r="16" spans="1:8" ht="12.75">
      <c r="A16" s="302" t="s">
        <v>44</v>
      </c>
      <c r="B16" s="303"/>
      <c r="C16" s="304" t="s">
        <v>8</v>
      </c>
      <c r="D16" s="305" t="s">
        <v>45</v>
      </c>
      <c r="E16" s="306"/>
      <c r="F16" s="307"/>
      <c r="G16" s="308" t="s">
        <v>46</v>
      </c>
      <c r="H16" s="294"/>
    </row>
    <row r="17" spans="1:8" ht="12.75">
      <c r="A17" s="704"/>
      <c r="B17" s="705"/>
      <c r="C17" s="309">
        <f>IF(Einkauf!C13=TRUE,Einkauf!C6,"")</f>
        <v>26011</v>
      </c>
      <c r="D17" s="310" t="str">
        <f>IF(C17="","",VLOOKUP(Einkauf!G13,BeraterEinkauf,3))</f>
        <v>309 Evelyn Schefer</v>
      </c>
      <c r="E17" s="306"/>
      <c r="F17" s="311"/>
      <c r="G17" s="312"/>
      <c r="H17" s="294"/>
    </row>
    <row r="18" ht="12.75">
      <c r="H18" s="294"/>
    </row>
    <row r="19" ht="12.75">
      <c r="H19" s="294"/>
    </row>
    <row r="20" spans="1:8" ht="23.25">
      <c r="A20" s="313" t="str">
        <f>"Bestell-Nr.- "&amp;Einkauf!C10</f>
        <v>Bestell-Nr.- 6002</v>
      </c>
      <c r="B20" s="314"/>
      <c r="C20" s="315"/>
      <c r="D20" s="316"/>
      <c r="E20" s="314"/>
      <c r="F20" s="314"/>
      <c r="G20" s="49"/>
      <c r="H20" s="294"/>
    </row>
    <row r="21" spans="1:8" ht="12.75">
      <c r="A21" s="317"/>
      <c r="B21" s="49"/>
      <c r="C21" s="318"/>
      <c r="D21" s="319"/>
      <c r="E21" s="49"/>
      <c r="F21" s="49"/>
      <c r="H21" s="294"/>
    </row>
    <row r="22" spans="1:8" ht="12.75">
      <c r="A22" s="317"/>
      <c r="B22" s="49"/>
      <c r="C22" s="318"/>
      <c r="D22" s="319"/>
      <c r="E22" s="49"/>
      <c r="F22" s="49"/>
      <c r="H22" s="294"/>
    </row>
    <row r="23" spans="1:8" ht="12.75">
      <c r="A23" s="290" t="s">
        <v>303</v>
      </c>
      <c r="B23" s="49"/>
      <c r="C23" s="318"/>
      <c r="D23" s="319"/>
      <c r="E23" s="49"/>
      <c r="F23" s="49"/>
      <c r="H23" s="294"/>
    </row>
    <row r="24" spans="1:8" ht="12.75">
      <c r="A24" s="290"/>
      <c r="B24" s="49"/>
      <c r="C24" s="318"/>
      <c r="D24" s="319"/>
      <c r="E24" s="49"/>
      <c r="F24" s="49"/>
      <c r="H24" s="294"/>
    </row>
    <row r="25" spans="1:8" ht="12.75">
      <c r="A25" s="290" t="s">
        <v>304</v>
      </c>
      <c r="B25" s="49"/>
      <c r="C25" s="318"/>
      <c r="D25" s="319"/>
      <c r="E25" s="49"/>
      <c r="F25" s="49"/>
      <c r="H25" s="294"/>
    </row>
    <row r="26" spans="1:8" ht="15">
      <c r="A26" s="182"/>
      <c r="B26" s="314"/>
      <c r="C26" s="315"/>
      <c r="D26" s="316"/>
      <c r="E26" s="314"/>
      <c r="F26" s="314"/>
      <c r="H26" s="294"/>
    </row>
    <row r="27" spans="1:8" ht="12.75">
      <c r="A27" s="706" t="s">
        <v>47</v>
      </c>
      <c r="B27" s="707"/>
      <c r="C27" s="320" t="s">
        <v>48</v>
      </c>
      <c r="D27" s="306"/>
      <c r="E27" s="321"/>
      <c r="F27" s="708" t="s">
        <v>305</v>
      </c>
      <c r="G27" s="709"/>
      <c r="H27" s="294"/>
    </row>
    <row r="28" spans="1:8" ht="12.75">
      <c r="A28" s="706" t="s">
        <v>306</v>
      </c>
      <c r="B28" s="707"/>
      <c r="C28" s="320" t="s">
        <v>307</v>
      </c>
      <c r="D28" s="306"/>
      <c r="E28" s="321"/>
      <c r="F28" s="708" t="s">
        <v>308</v>
      </c>
      <c r="G28" s="709"/>
      <c r="H28" s="294"/>
    </row>
    <row r="29" spans="1:8" ht="15.75" thickBot="1">
      <c r="A29" s="322"/>
      <c r="B29" s="322"/>
      <c r="C29" s="315"/>
      <c r="D29" s="316"/>
      <c r="E29" s="323"/>
      <c r="F29" s="323"/>
      <c r="H29" s="294"/>
    </row>
    <row r="30" spans="1:8" ht="31.5">
      <c r="A30" s="324" t="s">
        <v>49</v>
      </c>
      <c r="B30" s="325" t="s">
        <v>50</v>
      </c>
      <c r="C30" s="326" t="s">
        <v>1</v>
      </c>
      <c r="D30" s="327" t="s">
        <v>309</v>
      </c>
      <c r="E30" s="327" t="s">
        <v>310</v>
      </c>
      <c r="F30" s="326" t="s">
        <v>13</v>
      </c>
      <c r="G30" s="328" t="s">
        <v>311</v>
      </c>
      <c r="H30" s="294"/>
    </row>
    <row r="31" spans="1:8" ht="4.5" customHeight="1">
      <c r="A31" s="329"/>
      <c r="B31" s="330"/>
      <c r="C31" s="331"/>
      <c r="D31" s="331"/>
      <c r="E31" s="332"/>
      <c r="F31" s="332"/>
      <c r="G31" s="333"/>
      <c r="H31" s="294"/>
    </row>
    <row r="32" spans="1:8" ht="12.75">
      <c r="A32" s="334">
        <f>IF(OR(Einkauf!C15="",C17=""),"",1)</f>
        <v>1</v>
      </c>
      <c r="B32" s="335">
        <f>IF($A32="","",Einkauf!R15)</f>
        <v>432510</v>
      </c>
      <c r="C32" s="336" t="str">
        <f>IF($A32="","",Einkauf!H15)</f>
        <v>Farbstifte, 6 Farben im Metalletui</v>
      </c>
      <c r="D32" s="556">
        <f>IF($A32="","",Anfrage!E27)</f>
        <v>20</v>
      </c>
      <c r="E32" s="337">
        <f>IF($A32="","",Einkauf!J15)</f>
        <v>24.44</v>
      </c>
      <c r="F32" s="338">
        <f>IF($A32="","",Einkauf!K15)</f>
        <v>0.18</v>
      </c>
      <c r="G32" s="339">
        <f>IF($A32="","",Einkauf!N15)</f>
        <v>0.8</v>
      </c>
      <c r="H32" s="294"/>
    </row>
    <row r="33" spans="1:8" ht="12.75">
      <c r="A33" s="334">
        <f>IF(AND(Einkauf!C16&lt;&gt;"",$C$17&lt;&gt;""),A32+1,"")</f>
        <v>2</v>
      </c>
      <c r="B33" s="335">
        <f>IF($A33="","",Einkauf!R16)</f>
        <v>432550</v>
      </c>
      <c r="C33" s="336" t="str">
        <f>IF($A33="","",Einkauf!H16)</f>
        <v>Druckkugelschreiber Nr. 200</v>
      </c>
      <c r="D33" s="556">
        <f>IF($A33="","",Anfrage!E28)</f>
        <v>50</v>
      </c>
      <c r="E33" s="337">
        <f>IF($A33="","",Einkauf!J16)</f>
        <v>29.55</v>
      </c>
      <c r="F33" s="338">
        <f>IF($A33="","",Einkauf!K16)</f>
        <v>0.06</v>
      </c>
      <c r="G33" s="339">
        <f>IF($A33="","",Einkauf!N16)</f>
        <v>0.45</v>
      </c>
      <c r="H33" s="294"/>
    </row>
    <row r="34" spans="1:8" ht="24.75" customHeight="1">
      <c r="A34" s="334">
        <f>IF(AND(Einkauf!C17&lt;&gt;"",$C$17&lt;&gt;""),A33+1,"")</f>
      </c>
      <c r="B34" s="335">
        <f>IF($A34="","",Einkauf!R17)</f>
      </c>
      <c r="C34" s="340">
        <f>IF($A34="","",Einkauf!H17)</f>
      </c>
      <c r="D34" s="556">
        <f>IF($A34="","",Anfrage!E29)</f>
      </c>
      <c r="E34" s="337">
        <f>IF($A34="","",Einkauf!J17)</f>
      </c>
      <c r="F34" s="338">
        <f>IF($A34="","",Einkauf!K17)</f>
      </c>
      <c r="G34" s="341">
        <f>IF($A34="","",Einkauf!N17)</f>
      </c>
      <c r="H34" s="294"/>
    </row>
    <row r="35" spans="1:8" ht="25.5" customHeight="1">
      <c r="A35" s="334">
        <f>IF(AND(Einkauf!C18&lt;&gt;"",$C$17&lt;&gt;""),A34+1,"")</f>
      </c>
      <c r="B35" s="335">
        <f>IF($A35="","",Einkauf!R18)</f>
      </c>
      <c r="C35" s="340">
        <f>IF($A35="","",Einkauf!H18)</f>
      </c>
      <c r="D35" s="556">
        <f>IF($A35="","",Anfrage!E30)</f>
      </c>
      <c r="E35" s="337">
        <f>IF($A35="","",Einkauf!J18)</f>
      </c>
      <c r="F35" s="338">
        <f>IF($A35="","",Einkauf!K18)</f>
      </c>
      <c r="G35" s="341">
        <f>IF($A35="","",Einkauf!N18)</f>
      </c>
      <c r="H35" s="294"/>
    </row>
    <row r="36" spans="1:8" ht="21.75" customHeight="1" thickBot="1">
      <c r="A36" s="342">
        <f>IF(AND(Einkauf!C19&lt;&gt;"",$C$17&lt;&gt;""),A35+1,"")</f>
      </c>
      <c r="B36" s="343">
        <f>IF($A36="","",Einkauf!R19)</f>
      </c>
      <c r="C36" s="344">
        <f>IF($A36="","",Einkauf!H19)</f>
      </c>
      <c r="D36" s="557">
        <f>IF($A36="","",Anfrage!E31)</f>
      </c>
      <c r="E36" s="345">
        <f>IF($A36="","",Einkauf!J19)</f>
      </c>
      <c r="F36" s="346">
        <f>IF($A36="","",Einkauf!K19)</f>
      </c>
      <c r="G36" s="347">
        <f>IF($A36="","",Einkauf!N19)</f>
      </c>
      <c r="H36" s="294"/>
    </row>
    <row r="37" spans="1:8" ht="25.5" customHeight="1">
      <c r="A37" s="348"/>
      <c r="C37" s="349"/>
      <c r="D37" s="350"/>
      <c r="E37" s="51"/>
      <c r="F37" s="51"/>
      <c r="H37" s="294"/>
    </row>
    <row r="38" spans="1:8" ht="13.5" customHeight="1">
      <c r="A38" s="290" t="s">
        <v>336</v>
      </c>
      <c r="C38" s="187"/>
      <c r="D38" s="187"/>
      <c r="H38" s="294"/>
    </row>
    <row r="39" spans="1:8" ht="12.75">
      <c r="A39" s="290"/>
      <c r="B39" s="49"/>
      <c r="C39" s="319"/>
      <c r="D39" s="351"/>
      <c r="E39" s="49"/>
      <c r="F39" s="49"/>
      <c r="H39" s="294"/>
    </row>
    <row r="40" spans="1:8" ht="12.75">
      <c r="A40" s="290" t="s">
        <v>312</v>
      </c>
      <c r="B40" s="49"/>
      <c r="C40" s="319"/>
      <c r="D40" s="319"/>
      <c r="E40" s="49"/>
      <c r="F40" s="49"/>
      <c r="H40" s="294"/>
    </row>
    <row r="41" spans="1:8" ht="15">
      <c r="A41" s="352"/>
      <c r="B41" s="49"/>
      <c r="C41" s="319"/>
      <c r="D41" s="319"/>
      <c r="E41" s="49"/>
      <c r="F41" s="49"/>
      <c r="H41" s="294"/>
    </row>
    <row r="42" spans="1:8" ht="12.75">
      <c r="A42" s="290" t="s">
        <v>240</v>
      </c>
      <c r="B42" s="290"/>
      <c r="C42" s="290"/>
      <c r="D42" s="290"/>
      <c r="E42" s="290"/>
      <c r="F42" s="290"/>
      <c r="G42" s="290"/>
      <c r="H42" s="294"/>
    </row>
    <row r="43" spans="1:8" ht="12.75">
      <c r="A43" s="290"/>
      <c r="B43" s="290"/>
      <c r="C43" s="290"/>
      <c r="D43" s="290"/>
      <c r="E43" s="290"/>
      <c r="F43" s="290"/>
      <c r="G43" s="290"/>
      <c r="H43" s="294"/>
    </row>
    <row r="44" spans="1:8" ht="12.75">
      <c r="A44" s="290" t="s">
        <v>241</v>
      </c>
      <c r="B44" s="290"/>
      <c r="C44" s="290"/>
      <c r="D44" s="290"/>
      <c r="E44" s="290"/>
      <c r="F44" s="290"/>
      <c r="G44" s="290"/>
      <c r="H44" s="294"/>
    </row>
    <row r="45" spans="1:8" ht="12.75">
      <c r="A45" s="189"/>
      <c r="B45" s="190"/>
      <c r="C45" s="191"/>
      <c r="D45" s="191"/>
      <c r="E45" s="190"/>
      <c r="F45" s="190"/>
      <c r="G45" s="190"/>
      <c r="H45" s="294"/>
    </row>
    <row r="46" spans="1:8" ht="22.5">
      <c r="A46" s="697" t="str">
        <f>VLOOKUP(Einkauf!G13,BeraterEinkauf,4)</f>
        <v>E. Schefer</v>
      </c>
      <c r="B46" s="697"/>
      <c r="C46" s="697"/>
      <c r="D46" s="697"/>
      <c r="E46" s="697"/>
      <c r="F46" s="697"/>
      <c r="G46" s="697"/>
      <c r="H46" s="294"/>
    </row>
    <row r="47" spans="1:8" ht="14.25">
      <c r="A47" s="396"/>
      <c r="B47" s="396"/>
      <c r="C47" s="396"/>
      <c r="D47" s="396"/>
      <c r="E47" s="396"/>
      <c r="F47" s="396"/>
      <c r="G47" s="396"/>
      <c r="H47" s="294"/>
    </row>
    <row r="48" spans="1:8" ht="14.25">
      <c r="A48" s="710" t="str">
        <f>VLOOKUP(Einkauf!G13,BeraterEinkauf,5)</f>
        <v>i. A. Evelyn Schefer</v>
      </c>
      <c r="B48" s="710"/>
      <c r="C48" s="710"/>
      <c r="D48" s="396"/>
      <c r="E48" s="396"/>
      <c r="F48" s="396"/>
      <c r="G48" s="396"/>
      <c r="H48" s="294"/>
    </row>
    <row r="49" spans="1:8" ht="12.75">
      <c r="A49" s="290"/>
      <c r="B49" s="190"/>
      <c r="C49" s="191"/>
      <c r="D49" s="191"/>
      <c r="E49" s="190"/>
      <c r="F49" s="190"/>
      <c r="G49" s="190"/>
      <c r="H49" s="294"/>
    </row>
    <row r="50" spans="4:8" ht="12.75">
      <c r="D50" s="191"/>
      <c r="E50" s="190"/>
      <c r="F50" s="190"/>
      <c r="G50" s="190"/>
      <c r="H50" s="294"/>
    </row>
    <row r="51" spans="2:8" ht="13.5" thickBot="1">
      <c r="B51" s="290"/>
      <c r="C51" s="290"/>
      <c r="D51" s="290"/>
      <c r="E51" s="290"/>
      <c r="F51" s="290"/>
      <c r="G51" s="290"/>
      <c r="H51" s="294"/>
    </row>
    <row r="52" spans="1:8" ht="12.75">
      <c r="A52" s="41" t="s">
        <v>54</v>
      </c>
      <c r="B52" s="42"/>
      <c r="C52" s="43" t="s">
        <v>55</v>
      </c>
      <c r="D52" s="43" t="s">
        <v>56</v>
      </c>
      <c r="E52" s="42" t="s">
        <v>57</v>
      </c>
      <c r="F52" s="44"/>
      <c r="H52" s="294"/>
    </row>
    <row r="53" spans="1:8" ht="12.75">
      <c r="A53" s="9" t="s">
        <v>58</v>
      </c>
      <c r="B53"/>
      <c r="C53" s="10" t="s">
        <v>59</v>
      </c>
      <c r="D53" s="10" t="s">
        <v>60</v>
      </c>
      <c r="E53" t="s">
        <v>61</v>
      </c>
      <c r="F53"/>
      <c r="H53" s="294"/>
    </row>
    <row r="54" spans="1:8" ht="12.75">
      <c r="A54" s="9" t="s">
        <v>16</v>
      </c>
      <c r="B54"/>
      <c r="C54" s="45" t="s">
        <v>62</v>
      </c>
      <c r="D54" s="10" t="s">
        <v>63</v>
      </c>
      <c r="E54" t="s">
        <v>64</v>
      </c>
      <c r="F54"/>
      <c r="H54" s="294"/>
    </row>
    <row r="55" spans="1:8" ht="12.75">
      <c r="A55" s="9" t="s">
        <v>65</v>
      </c>
      <c r="B55"/>
      <c r="C55" s="45" t="s">
        <v>66</v>
      </c>
      <c r="D55" s="46" t="s">
        <v>67</v>
      </c>
      <c r="E55"/>
      <c r="F55"/>
      <c r="H55" s="294"/>
    </row>
    <row r="56" spans="1:8" ht="12.75">
      <c r="A56" s="163"/>
      <c r="C56" s="187"/>
      <c r="D56" s="187"/>
      <c r="H56" s="294"/>
    </row>
    <row r="57" spans="1:8" ht="12.75">
      <c r="A57" s="163"/>
      <c r="C57" s="187"/>
      <c r="D57" s="187"/>
      <c r="H57" s="294"/>
    </row>
    <row r="58" spans="1:8" ht="12.75">
      <c r="A58" s="163"/>
      <c r="C58" s="187"/>
      <c r="D58" s="187"/>
      <c r="H58" s="294"/>
    </row>
    <row r="59" spans="1:8" ht="12.75">
      <c r="A59" s="163"/>
      <c r="C59" s="187"/>
      <c r="D59" s="187"/>
      <c r="H59" s="294"/>
    </row>
    <row r="60" spans="1:8" ht="12.75">
      <c r="A60" s="163"/>
      <c r="C60" s="187"/>
      <c r="D60" s="187"/>
      <c r="H60" s="294"/>
    </row>
    <row r="61" spans="1:8" ht="12.75">
      <c r="A61" s="163"/>
      <c r="C61" s="187"/>
      <c r="D61" s="187"/>
      <c r="H61" s="294"/>
    </row>
    <row r="62" spans="1:8" ht="12.75">
      <c r="A62" s="163"/>
      <c r="C62" s="187"/>
      <c r="D62" s="187"/>
      <c r="H62" s="294"/>
    </row>
    <row r="63" spans="1:8" ht="12.75">
      <c r="A63" s="163"/>
      <c r="C63" s="187"/>
      <c r="D63" s="187"/>
      <c r="H63" s="294"/>
    </row>
    <row r="64" spans="1:8" ht="12.75">
      <c r="A64" s="163"/>
      <c r="C64" s="187"/>
      <c r="D64" s="187"/>
      <c r="H64" s="294"/>
    </row>
    <row r="65" spans="1:8" ht="12.75">
      <c r="A65" s="163"/>
      <c r="C65" s="187"/>
      <c r="D65" s="187"/>
      <c r="H65" s="294"/>
    </row>
    <row r="66" spans="1:8" ht="12.75">
      <c r="A66" s="163"/>
      <c r="C66" s="187"/>
      <c r="D66" s="187"/>
      <c r="H66" s="294"/>
    </row>
    <row r="67" spans="1:8" ht="12.75">
      <c r="A67" s="163"/>
      <c r="C67" s="187"/>
      <c r="D67" s="187"/>
      <c r="H67" s="294"/>
    </row>
    <row r="70" ht="12.75">
      <c r="H70" s="187"/>
    </row>
  </sheetData>
  <mergeCells count="12">
    <mergeCell ref="A28:B28"/>
    <mergeCell ref="F28:G28"/>
    <mergeCell ref="A46:G46"/>
    <mergeCell ref="A48:C48"/>
    <mergeCell ref="A10:C10"/>
    <mergeCell ref="A17:B17"/>
    <mergeCell ref="A27:B27"/>
    <mergeCell ref="F27:G27"/>
    <mergeCell ref="A1:G1"/>
    <mergeCell ref="A2:F2"/>
    <mergeCell ref="A4:C4"/>
    <mergeCell ref="A8:C8"/>
  </mergeCells>
  <printOptions/>
  <pageMargins left="0.48" right="0.23" top="0.48" bottom="0.33" header="0.34" footer="0.28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5"/>
  <dimension ref="B1:I56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5.421875" style="186" customWidth="1"/>
    <col min="2" max="2" width="5.8515625" style="186" customWidth="1"/>
    <col min="3" max="3" width="11.57421875" style="186" customWidth="1"/>
    <col min="4" max="4" width="17.57421875" style="186" customWidth="1"/>
    <col min="5" max="5" width="28.8515625" style="186" customWidth="1"/>
    <col min="6" max="6" width="9.140625" style="186" customWidth="1"/>
    <col min="7" max="7" width="15.421875" style="186" customWidth="1"/>
    <col min="8" max="8" width="11.28125" style="186" customWidth="1"/>
    <col min="9" max="9" width="12.140625" style="186" bestFit="1" customWidth="1"/>
    <col min="10" max="16384" width="11.421875" style="186" customWidth="1"/>
  </cols>
  <sheetData>
    <row r="1" spans="2:8" ht="30.75" thickBot="1">
      <c r="B1" s="711" t="str">
        <f>Einkauf!H6</f>
        <v>Gebr. Bauser OHG</v>
      </c>
      <c r="C1" s="712"/>
      <c r="D1" s="712"/>
      <c r="E1" s="712"/>
      <c r="F1" s="712"/>
      <c r="G1" s="713"/>
      <c r="H1" s="362"/>
    </row>
    <row r="2" spans="2:9" ht="12.75">
      <c r="B2" s="425">
        <f>IF(Einkauf!C13=TRUE,Einkauf!C6,"")</f>
        <v>26011</v>
      </c>
      <c r="C2" s="361"/>
      <c r="D2" s="361"/>
      <c r="E2" s="361"/>
      <c r="F2" s="361"/>
      <c r="G2" s="361"/>
      <c r="I2" s="294"/>
    </row>
    <row r="3" spans="2:9" ht="12.75">
      <c r="B3" s="163"/>
      <c r="D3" s="187"/>
      <c r="E3" s="187"/>
      <c r="I3" s="294"/>
    </row>
    <row r="4" spans="2:9" ht="12.75">
      <c r="B4" s="702" t="str">
        <f>Einkauf!H6&amp;" "&amp;Einkauf!H7&amp;" "&amp;Einkauf!H8</f>
        <v>Gebr. Bauser OHG Alsterterrasse 2 20354 Hamburg</v>
      </c>
      <c r="C4" s="702"/>
      <c r="D4" s="702"/>
      <c r="E4" s="187"/>
      <c r="I4" s="294"/>
    </row>
    <row r="5" spans="2:9" ht="12.75">
      <c r="B5" s="295"/>
      <c r="C5" s="296"/>
      <c r="D5" s="297"/>
      <c r="E5" s="187"/>
      <c r="I5" s="294"/>
    </row>
    <row r="6" spans="2:9" ht="12.75">
      <c r="B6" s="163"/>
      <c r="D6" s="187"/>
      <c r="E6" s="187"/>
      <c r="I6" s="294"/>
    </row>
    <row r="7" spans="5:9" ht="12.75">
      <c r="E7" s="187"/>
      <c r="I7" s="294"/>
    </row>
    <row r="8" spans="2:9" ht="12.75">
      <c r="B8" s="714" t="s">
        <v>241</v>
      </c>
      <c r="C8" s="714"/>
      <c r="D8" s="714"/>
      <c r="E8" s="187"/>
      <c r="I8" s="294"/>
    </row>
    <row r="9" spans="2:9" ht="12.75">
      <c r="B9" s="356" t="s">
        <v>58</v>
      </c>
      <c r="C9" s="356"/>
      <c r="D9" s="356"/>
      <c r="E9" s="187"/>
      <c r="I9" s="294"/>
    </row>
    <row r="10" spans="2:9" ht="12.75">
      <c r="B10" s="714" t="s">
        <v>16</v>
      </c>
      <c r="C10" s="714"/>
      <c r="D10" s="714"/>
      <c r="E10" s="187"/>
      <c r="I10" s="294"/>
    </row>
    <row r="11" spans="2:9" ht="12.75">
      <c r="B11" s="298"/>
      <c r="D11" s="187"/>
      <c r="E11" s="187"/>
      <c r="I11" s="294"/>
    </row>
    <row r="12" spans="2:9" ht="12.75">
      <c r="B12" s="298"/>
      <c r="D12" s="187"/>
      <c r="E12" s="187"/>
      <c r="I12" s="294"/>
    </row>
    <row r="13" spans="2:9" ht="12.75">
      <c r="B13" s="299"/>
      <c r="C13" s="300"/>
      <c r="D13" s="301"/>
      <c r="E13" s="187"/>
      <c r="I13" s="294"/>
    </row>
    <row r="14" spans="2:9" ht="12.75">
      <c r="B14" s="163"/>
      <c r="D14" s="187"/>
      <c r="E14" s="187"/>
      <c r="I14" s="294"/>
    </row>
    <row r="15" spans="2:9" ht="6.75" customHeight="1">
      <c r="B15" s="163"/>
      <c r="D15" s="187"/>
      <c r="E15" s="187"/>
      <c r="I15" s="294"/>
    </row>
    <row r="16" ht="12.75">
      <c r="I16" s="294"/>
    </row>
    <row r="17" spans="2:9" ht="23.25">
      <c r="B17" s="313" t="s">
        <v>314</v>
      </c>
      <c r="C17" s="314"/>
      <c r="D17" s="315"/>
      <c r="E17" s="316"/>
      <c r="F17" s="314"/>
      <c r="G17" s="314"/>
      <c r="H17" s="49"/>
      <c r="I17" s="294"/>
    </row>
    <row r="18" spans="2:9" ht="12.75">
      <c r="B18" s="317"/>
      <c r="C18" s="49"/>
      <c r="D18" s="318"/>
      <c r="E18" s="319"/>
      <c r="F18" s="49"/>
      <c r="G18" s="49"/>
      <c r="I18" s="294"/>
    </row>
    <row r="19" spans="2:9" ht="12.75">
      <c r="B19" s="317"/>
      <c r="C19" s="49"/>
      <c r="D19" s="318"/>
      <c r="E19" s="319"/>
      <c r="F19" s="49"/>
      <c r="G19" s="49"/>
      <c r="I19" s="294"/>
    </row>
    <row r="20" spans="2:9" ht="15">
      <c r="B20" s="182"/>
      <c r="C20" s="314"/>
      <c r="D20" s="315"/>
      <c r="E20" s="316"/>
      <c r="F20" s="314"/>
      <c r="G20" s="314"/>
      <c r="I20" s="294"/>
    </row>
    <row r="21" spans="2:9" ht="15.75" thickBot="1">
      <c r="B21" s="322"/>
      <c r="C21" s="322"/>
      <c r="D21" s="315"/>
      <c r="E21" s="316"/>
      <c r="F21" s="323"/>
      <c r="G21" s="323"/>
      <c r="I21" s="294"/>
    </row>
    <row r="22" spans="3:9" ht="31.5">
      <c r="C22" s="324" t="s">
        <v>49</v>
      </c>
      <c r="D22" s="325" t="s">
        <v>50</v>
      </c>
      <c r="E22" s="326" t="s">
        <v>1</v>
      </c>
      <c r="F22" s="328" t="s">
        <v>309</v>
      </c>
      <c r="G22" s="358"/>
      <c r="H22" s="357"/>
      <c r="I22" s="294"/>
    </row>
    <row r="23" spans="3:9" ht="4.5" customHeight="1" thickBot="1">
      <c r="C23" s="578"/>
      <c r="D23" s="558"/>
      <c r="E23" s="559"/>
      <c r="F23" s="579"/>
      <c r="G23" s="314"/>
      <c r="H23" s="49"/>
      <c r="I23" s="294"/>
    </row>
    <row r="24" spans="2:9" ht="27" customHeight="1">
      <c r="B24" s="237"/>
      <c r="C24" s="560">
        <f>IF(Einkauf!C15="","",1)</f>
        <v>1</v>
      </c>
      <c r="D24" s="561">
        <f>IF($C24="","",Einkauf!R15)</f>
        <v>432510</v>
      </c>
      <c r="E24" s="568" t="str">
        <f>IF($C24="","",Einkauf!H15)</f>
        <v>Farbstifte, 6 Farben im Metalletui</v>
      </c>
      <c r="F24" s="562">
        <f>IF($C24="","",Anfrage!E27)</f>
        <v>20</v>
      </c>
      <c r="G24" s="424"/>
      <c r="H24" s="419"/>
      <c r="I24" s="420"/>
    </row>
    <row r="25" spans="2:9" ht="26.25" customHeight="1">
      <c r="B25" s="237"/>
      <c r="C25" s="563">
        <f>IF(Einkauf!C16="","",2)</f>
        <v>2</v>
      </c>
      <c r="D25" s="385">
        <f>IF($C25="","",Einkauf!R16)</f>
        <v>432550</v>
      </c>
      <c r="E25" s="394" t="str">
        <f>IF($C25="","",Einkauf!H16)</f>
        <v>Druckkugelschreiber Nr. 200</v>
      </c>
      <c r="F25" s="564">
        <f>IF($C25="","",Anfrage!E28)</f>
        <v>50</v>
      </c>
      <c r="G25" s="424"/>
      <c r="H25" s="419"/>
      <c r="I25" s="420"/>
    </row>
    <row r="26" spans="2:9" ht="24.75" customHeight="1">
      <c r="B26" s="237"/>
      <c r="C26" s="563">
        <f>IF(Einkauf!C17="","",3)</f>
      </c>
      <c r="D26" s="385">
        <f>IF($C26="","",Einkauf!R17)</f>
      </c>
      <c r="E26" s="394">
        <f>IF($C26="","",Einkauf!H17)</f>
      </c>
      <c r="F26" s="564">
        <f>IF($C26="","",Anfrage!E29)</f>
      </c>
      <c r="G26" s="424"/>
      <c r="H26" s="421"/>
      <c r="I26" s="420"/>
    </row>
    <row r="27" spans="2:9" ht="25.5" customHeight="1">
      <c r="B27" s="237"/>
      <c r="C27" s="563">
        <f>IF(Einkauf!C18="","",4)</f>
      </c>
      <c r="D27" s="385">
        <f>IF($C27="","",Einkauf!R18)</f>
      </c>
      <c r="E27" s="394">
        <f>IF($C27="","",Einkauf!H18)</f>
      </c>
      <c r="F27" s="564">
        <f>IF($C27="","",Anfrage!E30)</f>
      </c>
      <c r="G27" s="424"/>
      <c r="H27" s="421"/>
      <c r="I27" s="420"/>
    </row>
    <row r="28" spans="2:9" ht="21.75" customHeight="1" thickBot="1">
      <c r="B28" s="237"/>
      <c r="C28" s="565">
        <f>IF(Einkauf!C19="","",5)</f>
      </c>
      <c r="D28" s="566">
        <f>IF($C28="","",Einkauf!R19)</f>
      </c>
      <c r="E28" s="569">
        <f>IF($C28="","",Einkauf!H19)</f>
      </c>
      <c r="F28" s="567">
        <f>IF($C28="","",Anfrage!E31)</f>
      </c>
      <c r="G28" s="424"/>
      <c r="H28" s="421"/>
      <c r="I28" s="420"/>
    </row>
    <row r="29" spans="2:9" ht="25.5" customHeight="1">
      <c r="B29" s="348"/>
      <c r="D29" s="349"/>
      <c r="E29" s="350"/>
      <c r="F29" s="51"/>
      <c r="G29" s="422"/>
      <c r="H29" s="423"/>
      <c r="I29" s="420"/>
    </row>
    <row r="30" spans="2:9" ht="13.5" customHeight="1">
      <c r="B30" s="290" t="s">
        <v>315</v>
      </c>
      <c r="D30" s="187"/>
      <c r="E30" s="187"/>
      <c r="I30" s="294"/>
    </row>
    <row r="31" spans="2:9" ht="12.75">
      <c r="B31" s="290"/>
      <c r="C31" s="49"/>
      <c r="D31" s="319"/>
      <c r="E31" s="351"/>
      <c r="F31" s="49"/>
      <c r="G31" s="49"/>
      <c r="I31" s="294"/>
    </row>
    <row r="32" spans="2:9" ht="12.75">
      <c r="B32" s="290" t="s">
        <v>316</v>
      </c>
      <c r="C32" s="49"/>
      <c r="D32" s="319"/>
      <c r="E32" s="319"/>
      <c r="F32" s="49"/>
      <c r="G32" s="49"/>
      <c r="I32" s="294"/>
    </row>
    <row r="33" spans="2:9" ht="15">
      <c r="B33" s="352"/>
      <c r="C33" s="49"/>
      <c r="D33" s="319"/>
      <c r="E33" s="319"/>
      <c r="F33" s="49"/>
      <c r="G33" s="49"/>
      <c r="I33" s="294"/>
    </row>
    <row r="34" spans="2:9" ht="12.75">
      <c r="B34" s="290"/>
      <c r="C34" s="290"/>
      <c r="D34" s="290"/>
      <c r="E34" s="290"/>
      <c r="F34" s="290"/>
      <c r="G34" s="290"/>
      <c r="H34" s="290"/>
      <c r="I34" s="294"/>
    </row>
    <row r="35" spans="2:9" ht="15">
      <c r="B35" s="360" t="str">
        <f>B1</f>
        <v>Gebr. Bauser OHG</v>
      </c>
      <c r="C35" s="290"/>
      <c r="D35" s="290"/>
      <c r="E35" s="290"/>
      <c r="F35" s="290"/>
      <c r="G35" s="290"/>
      <c r="H35" s="290"/>
      <c r="I35" s="294"/>
    </row>
    <row r="36" spans="2:9" ht="12.75">
      <c r="B36" s="290"/>
      <c r="C36" s="290"/>
      <c r="D36" s="290"/>
      <c r="E36" s="290"/>
      <c r="F36" s="290"/>
      <c r="G36" s="290"/>
      <c r="H36" s="290"/>
      <c r="I36" s="294"/>
    </row>
    <row r="37" spans="2:9" ht="12.75">
      <c r="B37" s="189"/>
      <c r="C37" s="190"/>
      <c r="D37" s="191"/>
      <c r="E37" s="191"/>
      <c r="F37" s="190"/>
      <c r="G37" s="190"/>
      <c r="H37" s="190"/>
      <c r="I37" s="294"/>
    </row>
    <row r="38" spans="2:9" ht="14.25">
      <c r="B38" s="359"/>
      <c r="C38" s="359"/>
      <c r="D38" s="359"/>
      <c r="E38" s="359"/>
      <c r="F38" s="359"/>
      <c r="G38" s="359"/>
      <c r="H38" s="359"/>
      <c r="I38" s="294"/>
    </row>
    <row r="39" spans="2:9" ht="12.75">
      <c r="B39" s="290"/>
      <c r="C39" s="190"/>
      <c r="D39" s="191"/>
      <c r="E39" s="191"/>
      <c r="F39" s="190"/>
      <c r="G39" s="190"/>
      <c r="H39" s="190"/>
      <c r="I39" s="294"/>
    </row>
    <row r="40" spans="2:9" ht="12.75">
      <c r="B40" s="188"/>
      <c r="C40" s="188"/>
      <c r="D40" s="188"/>
      <c r="E40" s="191"/>
      <c r="F40" s="190"/>
      <c r="G40" s="190"/>
      <c r="H40" s="190"/>
      <c r="I40" s="294"/>
    </row>
    <row r="41" spans="3:9" ht="12.75">
      <c r="C41" s="290"/>
      <c r="D41" s="290"/>
      <c r="E41" s="290"/>
      <c r="F41" s="290"/>
      <c r="G41" s="290"/>
      <c r="H41" s="290"/>
      <c r="I41" s="294"/>
    </row>
    <row r="42" spans="2:9" ht="12.75">
      <c r="B42" s="163"/>
      <c r="D42" s="187"/>
      <c r="E42" s="187"/>
      <c r="I42" s="294"/>
    </row>
    <row r="43" spans="2:9" ht="12.75">
      <c r="B43" s="163"/>
      <c r="D43" s="187"/>
      <c r="E43" s="187"/>
      <c r="I43" s="294"/>
    </row>
    <row r="44" spans="2:9" ht="12.75">
      <c r="B44" s="163"/>
      <c r="D44" s="187"/>
      <c r="E44" s="187"/>
      <c r="I44" s="294"/>
    </row>
    <row r="45" spans="2:9" ht="12.75">
      <c r="B45" s="163"/>
      <c r="D45" s="187"/>
      <c r="E45" s="187"/>
      <c r="I45" s="294"/>
    </row>
    <row r="46" spans="2:9" ht="12.75">
      <c r="B46" s="163"/>
      <c r="D46" s="187"/>
      <c r="E46" s="187"/>
      <c r="I46" s="294"/>
    </row>
    <row r="47" spans="2:9" ht="12.75">
      <c r="B47" s="163"/>
      <c r="D47" s="187"/>
      <c r="E47" s="187"/>
      <c r="I47" s="294"/>
    </row>
    <row r="48" spans="2:9" ht="12.75">
      <c r="B48" s="163"/>
      <c r="D48" s="187"/>
      <c r="E48" s="187"/>
      <c r="I48" s="294"/>
    </row>
    <row r="49" spans="2:9" ht="12.75">
      <c r="B49" s="163"/>
      <c r="D49" s="187"/>
      <c r="E49" s="187"/>
      <c r="I49" s="294"/>
    </row>
    <row r="50" spans="2:9" ht="12.75">
      <c r="B50" s="163"/>
      <c r="D50" s="187"/>
      <c r="E50" s="187"/>
      <c r="I50" s="294"/>
    </row>
    <row r="51" spans="2:9" ht="12.75">
      <c r="B51" s="163"/>
      <c r="D51" s="187"/>
      <c r="E51" s="187"/>
      <c r="I51" s="294"/>
    </row>
    <row r="52" spans="2:9" ht="12.75">
      <c r="B52" s="163"/>
      <c r="D52" s="187"/>
      <c r="E52" s="187"/>
      <c r="I52" s="294"/>
    </row>
    <row r="53" spans="2:9" ht="12.75">
      <c r="B53" s="163"/>
      <c r="D53" s="187"/>
      <c r="E53" s="187"/>
      <c r="I53" s="294"/>
    </row>
    <row r="56" ht="12.75">
      <c r="I56" s="187"/>
    </row>
  </sheetData>
  <mergeCells count="4">
    <mergeCell ref="B1:G1"/>
    <mergeCell ref="B10:D10"/>
    <mergeCell ref="B4:D4"/>
    <mergeCell ref="B8:D8"/>
  </mergeCells>
  <printOptions/>
  <pageMargins left="0.27" right="0.32" top="1" bottom="1" header="0.4921259845" footer="0.492125984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I78"/>
  <sheetViews>
    <sheetView showGridLines="0" showRowColHeaders="0" tabSelected="1" workbookViewId="0" topLeftCell="A23">
      <selection activeCell="F77" sqref="F77"/>
    </sheetView>
  </sheetViews>
  <sheetFormatPr defaultColWidth="11.421875" defaultRowHeight="12.75"/>
  <cols>
    <col min="1" max="1" width="5.8515625" style="0" customWidth="1"/>
    <col min="2" max="2" width="24.28125" style="0" customWidth="1"/>
    <col min="3" max="3" width="28.8515625" style="0" customWidth="1"/>
    <col min="4" max="4" width="14.7109375" style="0" bestFit="1" customWidth="1"/>
    <col min="5" max="5" width="12.00390625" style="0" customWidth="1"/>
    <col min="6" max="6" width="7.8515625" style="0" customWidth="1"/>
    <col min="7" max="7" width="10.140625" style="0" customWidth="1"/>
    <col min="8" max="8" width="15.57421875" style="0" bestFit="1" customWidth="1"/>
  </cols>
  <sheetData>
    <row r="1" spans="1:8" ht="30.75" thickBot="1">
      <c r="A1" s="725" t="str">
        <f>Einkauf!H6</f>
        <v>Gebr. Bauser OHG</v>
      </c>
      <c r="B1" s="726"/>
      <c r="C1" s="726"/>
      <c r="D1" s="726"/>
      <c r="E1" s="726"/>
      <c r="F1" s="726"/>
      <c r="G1" s="726"/>
      <c r="H1" s="727"/>
    </row>
    <row r="2" spans="1:8" ht="12.75">
      <c r="A2" s="728"/>
      <c r="B2" s="728"/>
      <c r="C2" s="728"/>
      <c r="D2" s="728"/>
      <c r="E2" s="728"/>
      <c r="F2" s="728"/>
      <c r="G2" s="381"/>
      <c r="H2" s="8"/>
    </row>
    <row r="3" spans="1:8" ht="12.75">
      <c r="A3" s="431"/>
      <c r="B3" s="381"/>
      <c r="C3" s="432"/>
      <c r="D3" s="432"/>
      <c r="E3" s="381"/>
      <c r="F3" s="381"/>
      <c r="G3" s="381"/>
      <c r="H3" s="8"/>
    </row>
    <row r="4" spans="1:8" ht="12.75">
      <c r="A4" s="717" t="str">
        <f>Einkauf!H6&amp;" "&amp;Einkauf!H7&amp;" "&amp;Einkauf!H8</f>
        <v>Gebr. Bauser OHG Alsterterrasse 2 20354 Hamburg</v>
      </c>
      <c r="B4" s="717"/>
      <c r="C4" s="717"/>
      <c r="D4" s="432"/>
      <c r="E4" s="381"/>
      <c r="F4" s="381"/>
      <c r="G4" s="381"/>
      <c r="H4" s="8"/>
    </row>
    <row r="5" spans="1:8" ht="12.75">
      <c r="A5" s="433"/>
      <c r="B5" s="434"/>
      <c r="C5" s="435"/>
      <c r="D5" s="432"/>
      <c r="E5" s="381"/>
      <c r="F5" s="381"/>
      <c r="G5" s="381"/>
      <c r="H5" s="8"/>
    </row>
    <row r="6" spans="1:8" ht="12.75">
      <c r="A6" s="431"/>
      <c r="B6" s="381"/>
      <c r="C6" s="432"/>
      <c r="D6" s="432"/>
      <c r="E6" s="381"/>
      <c r="F6" s="381"/>
      <c r="G6" s="381"/>
      <c r="H6" s="8"/>
    </row>
    <row r="7" spans="1:8" ht="12.75">
      <c r="A7" s="381"/>
      <c r="B7" s="381"/>
      <c r="C7" s="381"/>
      <c r="D7" s="432"/>
      <c r="E7" s="381"/>
      <c r="F7" s="381"/>
      <c r="G7" s="381"/>
      <c r="H7" s="8"/>
    </row>
    <row r="8" spans="1:8" ht="12.75">
      <c r="A8" s="729" t="s">
        <v>241</v>
      </c>
      <c r="B8" s="729"/>
      <c r="C8" s="729"/>
      <c r="D8" s="432"/>
      <c r="E8" s="381"/>
      <c r="F8" s="381"/>
      <c r="G8" s="381"/>
      <c r="H8" s="8"/>
    </row>
    <row r="9" spans="1:8" ht="12.75">
      <c r="A9" s="536" t="s">
        <v>58</v>
      </c>
      <c r="B9" s="536"/>
      <c r="C9" s="536"/>
      <c r="D9" s="432"/>
      <c r="E9" s="381"/>
      <c r="F9" s="381"/>
      <c r="G9" s="381"/>
      <c r="H9" s="8"/>
    </row>
    <row r="10" spans="1:8" ht="12.75">
      <c r="A10" s="729" t="s">
        <v>16</v>
      </c>
      <c r="B10" s="729"/>
      <c r="C10" s="729"/>
      <c r="D10" s="432"/>
      <c r="E10" s="381"/>
      <c r="F10" s="381"/>
      <c r="G10" s="381"/>
      <c r="H10" s="8"/>
    </row>
    <row r="11" spans="1:8" ht="12.75">
      <c r="A11" s="437"/>
      <c r="B11" s="381"/>
      <c r="C11" s="432"/>
      <c r="D11" s="432"/>
      <c r="E11" s="381"/>
      <c r="F11" s="381"/>
      <c r="G11" s="381"/>
      <c r="H11" s="8"/>
    </row>
    <row r="12" spans="1:8" ht="12.75">
      <c r="A12" s="437"/>
      <c r="B12" s="381"/>
      <c r="C12" s="432"/>
      <c r="D12" s="432"/>
      <c r="E12" s="381"/>
      <c r="F12" s="381"/>
      <c r="G12" s="381"/>
      <c r="H12" s="8"/>
    </row>
    <row r="13" spans="1:8" ht="12.75">
      <c r="A13" s="438"/>
      <c r="B13" s="439"/>
      <c r="C13" s="440"/>
      <c r="D13" s="432"/>
      <c r="E13" s="381"/>
      <c r="F13" s="381"/>
      <c r="G13" s="381"/>
      <c r="H13" s="8"/>
    </row>
    <row r="14" spans="1:8" ht="12.75">
      <c r="A14" s="431"/>
      <c r="B14" s="381"/>
      <c r="C14" s="432"/>
      <c r="D14" s="432"/>
      <c r="E14" s="381"/>
      <c r="F14" s="381"/>
      <c r="G14" s="381"/>
      <c r="H14" s="8"/>
    </row>
    <row r="15" spans="1:8" ht="22.5">
      <c r="A15" s="441" t="s">
        <v>369</v>
      </c>
      <c r="B15" s="381"/>
      <c r="C15" s="432"/>
      <c r="D15" s="442"/>
      <c r="E15" s="381"/>
      <c r="F15" s="381"/>
      <c r="G15" s="381"/>
      <c r="H15" s="8"/>
    </row>
    <row r="16" spans="1:8" ht="6.75" customHeight="1" thickBot="1">
      <c r="A16" s="431"/>
      <c r="B16" s="381"/>
      <c r="C16" s="432"/>
      <c r="D16" s="432"/>
      <c r="E16" s="381"/>
      <c r="F16" s="381"/>
      <c r="G16" s="381"/>
      <c r="H16" s="8"/>
    </row>
    <row r="17" spans="1:8" ht="16.5" thickBot="1">
      <c r="A17" s="443" t="s">
        <v>44</v>
      </c>
      <c r="B17" s="444"/>
      <c r="C17" s="445" t="s">
        <v>8</v>
      </c>
      <c r="D17" s="446" t="s">
        <v>45</v>
      </c>
      <c r="E17" s="588"/>
      <c r="F17" s="733" t="str">
        <f>Einkauf!H8&amp;", den"</f>
        <v>20354 Hamburg, den</v>
      </c>
      <c r="G17" s="734"/>
      <c r="H17" s="735"/>
    </row>
    <row r="18" spans="1:8" ht="16.5" thickBot="1">
      <c r="A18" s="448"/>
      <c r="B18" s="449"/>
      <c r="C18" s="589" t="s">
        <v>380</v>
      </c>
      <c r="D18" s="451"/>
      <c r="E18" s="471"/>
      <c r="F18" s="730">
        <f ca="1">TODAY()</f>
        <v>39062</v>
      </c>
      <c r="G18" s="731"/>
      <c r="H18" s="732"/>
    </row>
    <row r="19" spans="1:8" ht="15.75">
      <c r="A19" s="453" t="s">
        <v>47</v>
      </c>
      <c r="B19" s="454"/>
      <c r="C19" s="590" t="s">
        <v>48</v>
      </c>
      <c r="D19" s="591"/>
      <c r="E19" s="588"/>
      <c r="F19" s="588"/>
      <c r="G19" s="592"/>
      <c r="H19" s="593"/>
    </row>
    <row r="20" spans="1:8" ht="16.5" thickBot="1">
      <c r="A20" s="580"/>
      <c r="B20" s="471"/>
      <c r="C20" s="594"/>
      <c r="D20" s="595"/>
      <c r="E20" s="596"/>
      <c r="F20" s="596"/>
      <c r="G20" s="597"/>
      <c r="H20" s="598"/>
    </row>
    <row r="21" spans="1:8" ht="12.75">
      <c r="A21" s="582" t="s">
        <v>49</v>
      </c>
      <c r="B21" s="583" t="s">
        <v>50</v>
      </c>
      <c r="C21" s="584" t="s">
        <v>1</v>
      </c>
      <c r="D21" s="584" t="s">
        <v>51</v>
      </c>
      <c r="E21" s="584" t="s">
        <v>52</v>
      </c>
      <c r="F21" s="584" t="s">
        <v>13</v>
      </c>
      <c r="G21" s="585" t="s">
        <v>381</v>
      </c>
      <c r="H21" s="586" t="s">
        <v>68</v>
      </c>
    </row>
    <row r="22" spans="1:8" ht="4.5" customHeight="1">
      <c r="A22" s="462"/>
      <c r="B22" s="463"/>
      <c r="C22" s="465"/>
      <c r="D22" s="465"/>
      <c r="E22" s="503"/>
      <c r="F22" s="503"/>
      <c r="G22" s="581"/>
      <c r="H22" s="587"/>
    </row>
    <row r="23" spans="1:8" ht="38.25" customHeight="1">
      <c r="A23" s="537">
        <f>IF(Einkauf!C15="","",1)</f>
        <v>1</v>
      </c>
      <c r="B23" s="570">
        <f>IF($A23="","",Einkauf!R15)</f>
        <v>432510</v>
      </c>
      <c r="C23" s="371" t="str">
        <f>IF($A23="","",Einkauf!H15)</f>
        <v>Farbstifte, 6 Farben im Metalletui</v>
      </c>
      <c r="D23" s="505" t="str">
        <f>IF($A23="","",Anfrage!E27&amp;" a` "&amp;Einkauf!P15&amp;" St.")</f>
        <v>20 a` 10 St.</v>
      </c>
      <c r="E23" s="532">
        <f>IF($A23="","",Einkauf!J15)</f>
        <v>24.44</v>
      </c>
      <c r="F23" s="533">
        <f>IF($A23="","",Einkauf!K15)</f>
        <v>0.18</v>
      </c>
      <c r="G23" s="616">
        <f>IF(A23="","",ROUND(E23*(1-F23),2))</f>
        <v>20.04</v>
      </c>
      <c r="H23" s="618">
        <f>IF(A23="","",Einkauf!D15/Einkauf!P15*Einkauf!Q15*G23)</f>
        <v>400.79999999999995</v>
      </c>
    </row>
    <row r="24" spans="1:8" ht="38.25" customHeight="1">
      <c r="A24" s="537">
        <f>IF(Einkauf!C16="","",2)</f>
        <v>2</v>
      </c>
      <c r="B24" s="570">
        <f>IF($A24="","",Einkauf!R16)</f>
        <v>432550</v>
      </c>
      <c r="C24" s="371" t="str">
        <f>IF($A24="","",Einkauf!H16)</f>
        <v>Druckkugelschreiber Nr. 200</v>
      </c>
      <c r="D24" s="505" t="str">
        <f>IF($A24="","",Anfrage!E28&amp;" a` "&amp;Einkauf!P16&amp;" St.")</f>
        <v>50 a` 50 St.</v>
      </c>
      <c r="E24" s="532">
        <f>IF($A24="","",Einkauf!J16)</f>
        <v>29.55</v>
      </c>
      <c r="F24" s="533">
        <f>IF($A24="","",Einkauf!K16)</f>
        <v>0.06</v>
      </c>
      <c r="G24" s="616">
        <f>IF(A24="","",ROUND(E24*(1-F24),2))</f>
        <v>27.78</v>
      </c>
      <c r="H24" s="618">
        <f>IF(A24="","",Einkauf!D16/Einkauf!P16*Einkauf!Q16*G24)</f>
        <v>1389</v>
      </c>
    </row>
    <row r="25" spans="1:8" ht="38.25" customHeight="1">
      <c r="A25" s="537">
        <f>IF(Einkauf!C17="","",3)</f>
      </c>
      <c r="B25" s="570">
        <f>IF($A25="","",Einkauf!R17)</f>
      </c>
      <c r="C25" s="371">
        <f>IF($A25="","",Einkauf!H17)</f>
      </c>
      <c r="D25" s="505">
        <f>IF($A25="","",Anfrage!E29&amp;" a` "&amp;Einkauf!P17&amp;" St.")</f>
      </c>
      <c r="E25" s="532">
        <f>IF($A25="","",Einkauf!J17)</f>
      </c>
      <c r="F25" s="533">
        <f>IF($A25="","",Einkauf!K17)</f>
      </c>
      <c r="G25" s="616">
        <f>IF(A25="","",ROUND(E25*(1-F25),2))</f>
      </c>
      <c r="H25" s="618">
        <f>IF(A25="","",Einkauf!D17/Einkauf!P17*Einkauf!Q17*G25)</f>
      </c>
    </row>
    <row r="26" spans="1:8" ht="38.25" customHeight="1">
      <c r="A26" s="537">
        <f>IF(Einkauf!C18="","",4)</f>
      </c>
      <c r="B26" s="570">
        <f>IF($A26="","",Einkauf!R18)</f>
      </c>
      <c r="C26" s="371">
        <f>IF($A26="","",Einkauf!H18)</f>
      </c>
      <c r="D26" s="505">
        <f>IF($A26="","",Anfrage!E30&amp;" a` "&amp;Einkauf!P18&amp;" St.")</f>
      </c>
      <c r="E26" s="532">
        <f>IF($A26="","",Einkauf!J18)</f>
      </c>
      <c r="F26" s="533">
        <f>IF($A26="","",Einkauf!K18)</f>
      </c>
      <c r="G26" s="616">
        <f>IF(A26="","",ROUND(E26*(1-F26),2))</f>
      </c>
      <c r="H26" s="618">
        <f>IF(A26="","",Einkauf!D18/Einkauf!P18*Einkauf!Q18*G26)</f>
      </c>
    </row>
    <row r="27" spans="1:8" ht="38.25" customHeight="1" thickBot="1">
      <c r="A27" s="574">
        <f>IF(Einkauf!C19="","",5)</f>
      </c>
      <c r="B27" s="575">
        <f>IF($A27="","",Einkauf!R19)</f>
      </c>
      <c r="C27" s="377">
        <f>IF($A27="","",Einkauf!H19)</f>
      </c>
      <c r="D27" s="509">
        <f>IF($A27="","",Anfrage!E31&amp;" a` "&amp;Einkauf!P19&amp;" St.")</f>
      </c>
      <c r="E27" s="534">
        <f>IF($A27="","",Einkauf!J19)</f>
      </c>
      <c r="F27" s="535">
        <f>IF($A27="","",Einkauf!K19)</f>
      </c>
      <c r="G27" s="617">
        <f>IF(A27="","",ROUND(E27*(1-F27),2))</f>
      </c>
      <c r="H27" s="619">
        <f>IF(A27="","",Einkauf!D19/Einkauf!P19*Einkauf!Q19*G27)</f>
      </c>
    </row>
    <row r="29" spans="1:8" ht="13.5" customHeight="1">
      <c r="A29" t="s">
        <v>382</v>
      </c>
      <c r="C29" s="601">
        <f>Einkauf!N15*Einkauf!D15/Einkauf!P15*Einkauf!Q15+IF(Einkauf!C16="",0,Einkauf!N16*Einkauf!D16/Einkauf!P16*Einkauf!Q16)+IF(Einkauf!C17="",0,Einkauf!N17*Einkauf!D17/Einkauf!P17*Einkauf!Q17)+IF(Einkauf!C18="",0,Einkauf!N18*Einkauf!D18/Einkauf!P18*Einkauf!Q18)+IF(Einkauf!C19="",0,Einkauf!N19*Einkauf!D19/Einkauf!P19*Einkauf!Q19)</f>
        <v>38.5</v>
      </c>
      <c r="E29" s="516" t="s">
        <v>385</v>
      </c>
      <c r="F29" s="599"/>
      <c r="G29" s="724">
        <f>SUM(H23:H27)</f>
        <v>1789.8</v>
      </c>
      <c r="H29" s="724"/>
    </row>
    <row r="30" spans="4:9" ht="15">
      <c r="D30" s="719" t="s">
        <v>384</v>
      </c>
      <c r="E30" s="719"/>
      <c r="F30" s="76">
        <v>0.08</v>
      </c>
      <c r="G30" s="723">
        <f>G29*F30</f>
        <v>143.184</v>
      </c>
      <c r="H30" s="723"/>
      <c r="I30" s="627"/>
    </row>
    <row r="31" spans="5:9" ht="15.75">
      <c r="E31" s="626" t="s">
        <v>386</v>
      </c>
      <c r="G31" s="723">
        <f>G29-G30</f>
        <v>1646.616</v>
      </c>
      <c r="H31" s="723"/>
      <c r="I31" s="627"/>
    </row>
    <row r="32" spans="1:8" ht="15.75">
      <c r="A32" s="513"/>
      <c r="B32" s="514"/>
      <c r="C32" s="515"/>
      <c r="D32" s="514"/>
      <c r="E32" t="s">
        <v>406</v>
      </c>
      <c r="H32" s="604">
        <f>G31+C29</f>
        <v>1685.116</v>
      </c>
    </row>
    <row r="33" spans="1:8" ht="12.75">
      <c r="A33" s="571">
        <f>Einkauf!H9</f>
        <v>0.02</v>
      </c>
      <c r="B33" s="480" t="s">
        <v>69</v>
      </c>
      <c r="C33" s="605">
        <f>F18+Sonstiges!A18</f>
        <v>39076</v>
      </c>
      <c r="D33" s="481"/>
      <c r="E33" s="381" t="s">
        <v>228</v>
      </c>
      <c r="F33" s="600">
        <v>0.16</v>
      </c>
      <c r="H33" s="620">
        <f>ROUND(G31*F33,2)</f>
        <v>263.46</v>
      </c>
    </row>
    <row r="34" spans="1:8" ht="15.75">
      <c r="A34" s="483"/>
      <c r="B34" s="480"/>
      <c r="C34" s="481"/>
      <c r="D34" s="481"/>
      <c r="E34" s="647" t="s">
        <v>229</v>
      </c>
      <c r="F34" s="647"/>
      <c r="H34" s="621">
        <f>H32+H33</f>
        <v>1948.576</v>
      </c>
    </row>
    <row r="36" spans="5:8" ht="12.75">
      <c r="E36" s="602" t="s">
        <v>230</v>
      </c>
      <c r="F36" s="602"/>
      <c r="G36" s="603"/>
      <c r="H36" s="604">
        <f>(G31*(1+F33))*A33</f>
        <v>38.2014912</v>
      </c>
    </row>
    <row r="37" spans="1:8" ht="12.75">
      <c r="A37" s="525"/>
      <c r="B37" s="526"/>
      <c r="C37" s="527"/>
      <c r="D37" s="481"/>
      <c r="E37" s="602" t="s">
        <v>231</v>
      </c>
      <c r="F37" s="602"/>
      <c r="G37" s="603"/>
      <c r="H37" s="604">
        <f>H34-H36</f>
        <v>1910.3745088</v>
      </c>
    </row>
    <row r="38" spans="1:8" ht="12.75" customHeight="1">
      <c r="A38" s="528"/>
      <c r="B38" s="381"/>
      <c r="C38" s="432"/>
      <c r="D38" s="432"/>
      <c r="E38" s="381"/>
      <c r="F38" s="381"/>
      <c r="G38" s="381"/>
      <c r="H38" s="8"/>
    </row>
    <row r="39" spans="1:8" ht="12.75">
      <c r="A39" s="528" t="s">
        <v>53</v>
      </c>
      <c r="B39" s="381"/>
      <c r="C39" s="432"/>
      <c r="D39" s="432"/>
      <c r="E39" s="381"/>
      <c r="F39" s="381"/>
      <c r="G39" s="381"/>
      <c r="H39" s="8"/>
    </row>
    <row r="40" spans="1:8" ht="12.75" customHeight="1">
      <c r="A40" s="528"/>
      <c r="B40" s="381"/>
      <c r="C40" s="432"/>
      <c r="D40" s="432"/>
      <c r="E40" s="381"/>
      <c r="F40" s="381"/>
      <c r="G40" s="381"/>
      <c r="H40" s="8"/>
    </row>
    <row r="41" spans="1:8" ht="12.75">
      <c r="A41" s="528"/>
      <c r="B41" s="381"/>
      <c r="C41" s="432"/>
      <c r="D41" s="432"/>
      <c r="E41" s="381"/>
      <c r="F41" s="381"/>
      <c r="G41" s="381"/>
      <c r="H41" s="8"/>
    </row>
    <row r="42" spans="1:8" ht="51" customHeight="1">
      <c r="A42" s="715" t="s">
        <v>240</v>
      </c>
      <c r="B42" s="715"/>
      <c r="C42" s="715"/>
      <c r="D42" s="484"/>
      <c r="E42" s="484"/>
      <c r="F42" s="484"/>
      <c r="G42" s="381"/>
      <c r="H42" s="8"/>
    </row>
    <row r="43" spans="1:8" ht="12.75">
      <c r="A43" s="253"/>
      <c r="B43" s="237"/>
      <c r="C43" s="485"/>
      <c r="D43" s="485"/>
      <c r="E43" s="237"/>
      <c r="F43" s="237"/>
      <c r="G43" s="381"/>
      <c r="H43" s="8"/>
    </row>
    <row r="44" spans="1:8" ht="51" customHeight="1">
      <c r="A44" s="716" t="str">
        <f>A1</f>
        <v>Gebr. Bauser OHG</v>
      </c>
      <c r="B44" s="716"/>
      <c r="C44" s="716"/>
      <c r="D44" s="484"/>
      <c r="E44" s="484"/>
      <c r="F44" s="484"/>
      <c r="G44" s="381"/>
      <c r="H44" s="8"/>
    </row>
    <row r="45" spans="1:8" ht="12.75">
      <c r="A45" s="528"/>
      <c r="B45" s="381"/>
      <c r="C45" s="493"/>
      <c r="D45" s="432"/>
      <c r="E45" s="381"/>
      <c r="F45" s="381"/>
      <c r="G45" s="381"/>
      <c r="H45" s="8"/>
    </row>
    <row r="46" spans="1:8" ht="13.5" thickBot="1">
      <c r="A46" s="528"/>
      <c r="B46" s="597"/>
      <c r="C46" s="609"/>
      <c r="D46" s="610"/>
      <c r="E46" s="597"/>
      <c r="F46" s="597"/>
      <c r="G46" s="597"/>
      <c r="H46" s="611"/>
    </row>
    <row r="47" spans="1:8" ht="12.75">
      <c r="A47" s="489"/>
      <c r="B47" s="606"/>
      <c r="C47" s="607"/>
      <c r="D47" s="607"/>
      <c r="E47" s="606"/>
      <c r="F47" s="608"/>
      <c r="G47" s="381"/>
      <c r="H47" s="8"/>
    </row>
    <row r="48" spans="1:8" ht="13.5" thickBot="1">
      <c r="A48" s="612"/>
      <c r="B48" s="613"/>
      <c r="C48" s="614"/>
      <c r="D48" s="614"/>
      <c r="E48" s="613"/>
      <c r="F48" s="613"/>
      <c r="G48" s="613"/>
      <c r="H48" s="615"/>
    </row>
    <row r="49" spans="1:8" ht="13.5" thickTop="1">
      <c r="A49" s="431"/>
      <c r="B49" s="381"/>
      <c r="C49" s="493"/>
      <c r="D49" s="432"/>
      <c r="E49" s="381"/>
      <c r="F49" s="381"/>
      <c r="G49" s="381"/>
      <c r="H49" s="8"/>
    </row>
    <row r="50" spans="1:8" ht="12.75">
      <c r="A50" s="431"/>
      <c r="B50" s="381"/>
      <c r="C50" s="493"/>
      <c r="D50" s="494"/>
      <c r="E50" s="381"/>
      <c r="F50" s="381"/>
      <c r="G50" s="381"/>
      <c r="H50" s="8"/>
    </row>
    <row r="51" spans="1:8" ht="12.75">
      <c r="A51" s="9"/>
      <c r="C51" s="10"/>
      <c r="D51" s="10"/>
      <c r="H51" s="8"/>
    </row>
    <row r="52" spans="1:8" ht="12.75">
      <c r="A52" s="9"/>
      <c r="C52" s="10"/>
      <c r="D52" s="10"/>
      <c r="H52" s="8"/>
    </row>
    <row r="53" spans="1:8" ht="12.75">
      <c r="A53" s="9"/>
      <c r="C53" s="10"/>
      <c r="D53" s="10"/>
      <c r="H53" s="8"/>
    </row>
    <row r="54" spans="1:8" ht="12.75">
      <c r="A54" s="9"/>
      <c r="C54" s="10"/>
      <c r="D54" s="10"/>
      <c r="H54" s="8"/>
    </row>
    <row r="55" spans="1:8" ht="12.75">
      <c r="A55" s="9"/>
      <c r="C55" s="10"/>
      <c r="D55" s="10"/>
      <c r="H55" s="8"/>
    </row>
    <row r="56" spans="1:8" ht="13.5" thickBot="1">
      <c r="A56" s="9"/>
      <c r="C56" s="10"/>
      <c r="D56" s="10"/>
      <c r="H56" s="8"/>
    </row>
    <row r="57" spans="1:8" ht="18.75" thickBot="1">
      <c r="A57" s="720" t="s">
        <v>387</v>
      </c>
      <c r="B57" s="721"/>
      <c r="C57" s="721"/>
      <c r="D57" s="722"/>
      <c r="H57" s="8"/>
    </row>
    <row r="58" spans="1:8" ht="12.75">
      <c r="A58" s="9"/>
      <c r="C58" s="10"/>
      <c r="D58" s="10"/>
      <c r="H58" s="8"/>
    </row>
    <row r="59" spans="1:4" ht="18">
      <c r="A59" s="639" t="s">
        <v>388</v>
      </c>
      <c r="B59" s="630"/>
      <c r="C59" s="631" t="s">
        <v>396</v>
      </c>
      <c r="D59" s="632" t="s">
        <v>397</v>
      </c>
    </row>
    <row r="60" spans="1:4" ht="15">
      <c r="A60" s="628"/>
      <c r="B60" s="628"/>
      <c r="C60" s="628"/>
      <c r="D60" s="629"/>
    </row>
    <row r="61" spans="1:8" ht="15.75">
      <c r="A61" s="626" t="s">
        <v>389</v>
      </c>
      <c r="B61" s="628"/>
      <c r="C61" s="633">
        <f>G31</f>
        <v>1646.616</v>
      </c>
      <c r="D61" s="634"/>
      <c r="H61" s="10"/>
    </row>
    <row r="62" spans="1:4" ht="15.75">
      <c r="A62" s="626" t="s">
        <v>395</v>
      </c>
      <c r="B62" s="628"/>
      <c r="C62" s="633">
        <f>C29</f>
        <v>38.5</v>
      </c>
      <c r="D62" s="635"/>
    </row>
    <row r="63" spans="1:4" ht="15.75">
      <c r="A63" s="626" t="s">
        <v>390</v>
      </c>
      <c r="B63" s="628"/>
      <c r="C63" s="633">
        <f>H33</f>
        <v>263.46</v>
      </c>
      <c r="D63" s="635"/>
    </row>
    <row r="64" spans="1:4" ht="15.75">
      <c r="A64" s="626" t="str">
        <f>"an "&amp;Einkauf!C6&amp;" "&amp;Einkauf!H6</f>
        <v>an 26011 Gebr. Bauser OHG</v>
      </c>
      <c r="B64" s="628"/>
      <c r="C64" s="626"/>
      <c r="D64" s="634">
        <f>SUM(C61:C63)</f>
        <v>1948.576</v>
      </c>
    </row>
    <row r="65" spans="1:4" ht="15.75">
      <c r="A65" s="628"/>
      <c r="B65" s="628"/>
      <c r="C65" s="626"/>
      <c r="D65" s="635"/>
    </row>
    <row r="66" spans="1:4" ht="18">
      <c r="A66" s="639" t="s">
        <v>399</v>
      </c>
      <c r="B66" s="630"/>
      <c r="C66" s="636"/>
      <c r="D66" s="637"/>
    </row>
    <row r="67" spans="1:4" ht="15.75">
      <c r="A67" s="628"/>
      <c r="B67" s="628"/>
      <c r="C67" s="626"/>
      <c r="D67" s="635"/>
    </row>
    <row r="68" spans="1:4" ht="15.75">
      <c r="A68" s="626" t="str">
        <f>Einkauf!C6&amp;" "&amp;Einkauf!H6</f>
        <v>26011 Gebr. Bauser OHG</v>
      </c>
      <c r="B68" s="628"/>
      <c r="C68" s="633">
        <f>D64</f>
        <v>1948.576</v>
      </c>
      <c r="D68" s="635"/>
    </row>
    <row r="69" spans="1:4" ht="15.75">
      <c r="A69" s="626" t="s">
        <v>391</v>
      </c>
      <c r="B69" s="628"/>
      <c r="C69" s="626"/>
      <c r="D69" s="634">
        <f>D64</f>
        <v>1948.576</v>
      </c>
    </row>
    <row r="70" spans="1:4" ht="15.75">
      <c r="A70" s="628"/>
      <c r="B70" s="628"/>
      <c r="C70" s="626"/>
      <c r="D70" s="635"/>
    </row>
    <row r="71" spans="1:4" ht="15.75">
      <c r="A71" s="628"/>
      <c r="B71" s="628"/>
      <c r="C71" s="626"/>
      <c r="D71" s="635"/>
    </row>
    <row r="72" spans="1:4" ht="18">
      <c r="A72" s="639" t="s">
        <v>398</v>
      </c>
      <c r="B72" s="630"/>
      <c r="C72" s="636"/>
      <c r="D72" s="637"/>
    </row>
    <row r="73" spans="1:4" ht="15.75">
      <c r="A73" s="628"/>
      <c r="B73" s="628"/>
      <c r="C73" s="626"/>
      <c r="D73" s="635"/>
    </row>
    <row r="74" spans="1:4" ht="15.75">
      <c r="A74" s="626" t="str">
        <f>Einkauf!C6&amp;" "&amp;Einkauf!H6</f>
        <v>26011 Gebr. Bauser OHG</v>
      </c>
      <c r="B74" s="628"/>
      <c r="C74" s="633">
        <f>D64</f>
        <v>1948.576</v>
      </c>
      <c r="D74" s="635"/>
    </row>
    <row r="75" spans="1:4" ht="15.75">
      <c r="A75" s="626" t="s">
        <v>392</v>
      </c>
      <c r="B75" s="628"/>
      <c r="C75" s="626"/>
      <c r="D75" s="634">
        <f>H37</f>
        <v>1910.3745088</v>
      </c>
    </row>
    <row r="76" spans="1:4" ht="15.75">
      <c r="A76" s="626" t="s">
        <v>393</v>
      </c>
      <c r="B76" s="628"/>
      <c r="C76" s="626"/>
      <c r="D76" s="638">
        <f>ROUND(H36/(1+F33),2)</f>
        <v>32.93</v>
      </c>
    </row>
    <row r="77" spans="1:8" ht="15.75">
      <c r="A77" s="626" t="s">
        <v>394</v>
      </c>
      <c r="B77" s="628"/>
      <c r="C77" s="626"/>
      <c r="D77" s="634">
        <f>H36-D76</f>
        <v>5.2714912</v>
      </c>
      <c r="G77" s="764"/>
      <c r="H77" s="764"/>
    </row>
    <row r="78" ht="12.75">
      <c r="D78" s="601"/>
    </row>
  </sheetData>
  <mergeCells count="15">
    <mergeCell ref="G77:H77"/>
    <mergeCell ref="A57:D57"/>
    <mergeCell ref="G30:H30"/>
    <mergeCell ref="G31:H31"/>
    <mergeCell ref="A1:H1"/>
    <mergeCell ref="G29:H29"/>
    <mergeCell ref="A2:F2"/>
    <mergeCell ref="A8:C8"/>
    <mergeCell ref="A10:C10"/>
    <mergeCell ref="F18:H18"/>
    <mergeCell ref="F17:H17"/>
    <mergeCell ref="A42:C42"/>
    <mergeCell ref="A44:C44"/>
    <mergeCell ref="A4:C4"/>
    <mergeCell ref="D30:E30"/>
  </mergeCells>
  <printOptions/>
  <pageMargins left="0.61" right="0.23" top="0.38" bottom="0.36" header="0.31" footer="0.26"/>
  <pageSetup fitToHeight="1" fitToWidth="1" horizontalDpi="600" verticalDpi="600" orientation="portrait" paperSize="9" scale="6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1:M50"/>
  <sheetViews>
    <sheetView showGridLines="0" showRowColHeaders="0" workbookViewId="0" topLeftCell="A1">
      <selection activeCell="B3" sqref="B3"/>
    </sheetView>
  </sheetViews>
  <sheetFormatPr defaultColWidth="11.421875" defaultRowHeight="12.75"/>
  <cols>
    <col min="2" max="2" width="16.140625" style="0" customWidth="1"/>
    <col min="3" max="3" width="14.57421875" style="0" customWidth="1"/>
    <col min="4" max="4" width="14.421875" style="0" customWidth="1"/>
    <col min="5" max="5" width="18.7109375" style="0" bestFit="1" customWidth="1"/>
    <col min="6" max="6" width="18.57421875" style="0" customWidth="1"/>
    <col min="7" max="7" width="15.28125" style="0" bestFit="1" customWidth="1"/>
    <col min="9" max="9" width="13.140625" style="0" bestFit="1" customWidth="1"/>
  </cols>
  <sheetData>
    <row r="1" spans="1:13" ht="13.5" thickBot="1">
      <c r="A1" s="381"/>
      <c r="B1" s="381"/>
      <c r="C1" s="381"/>
      <c r="D1" s="381"/>
      <c r="E1" s="381"/>
      <c r="F1" s="381"/>
      <c r="G1" s="381"/>
      <c r="H1" s="381"/>
      <c r="I1" s="381"/>
      <c r="J1" s="139"/>
      <c r="K1" s="139"/>
      <c r="L1" s="139"/>
      <c r="M1" s="139"/>
    </row>
    <row r="2" spans="1:13" ht="27" thickBot="1">
      <c r="A2" s="381"/>
      <c r="B2" s="678" t="s">
        <v>70</v>
      </c>
      <c r="C2" s="679"/>
      <c r="D2" s="679"/>
      <c r="E2" s="679"/>
      <c r="F2" s="679"/>
      <c r="G2" s="679"/>
      <c r="H2" s="679"/>
      <c r="I2" s="680"/>
      <c r="J2" s="139"/>
      <c r="K2" s="139"/>
      <c r="L2" s="139"/>
      <c r="M2" s="139"/>
    </row>
    <row r="3" spans="1:13" ht="19.5">
      <c r="A3" s="381"/>
      <c r="B3" s="495"/>
      <c r="C3" s="495"/>
      <c r="D3" s="495"/>
      <c r="E3" s="495"/>
      <c r="F3" s="495"/>
      <c r="G3" s="495"/>
      <c r="H3" s="495"/>
      <c r="I3" s="495"/>
      <c r="J3" s="139"/>
      <c r="K3" s="139"/>
      <c r="L3" s="139"/>
      <c r="M3" s="139"/>
    </row>
    <row r="4" spans="1:13" ht="19.5">
      <c r="A4" s="381"/>
      <c r="B4" s="495"/>
      <c r="C4" s="495"/>
      <c r="D4" s="495"/>
      <c r="E4" s="495"/>
      <c r="F4" s="495"/>
      <c r="G4" s="495"/>
      <c r="H4" s="495"/>
      <c r="I4" s="495"/>
      <c r="J4" s="139"/>
      <c r="K4" s="139"/>
      <c r="L4" s="139"/>
      <c r="M4" s="139"/>
    </row>
    <row r="5" spans="1:13" ht="13.5" thickBot="1">
      <c r="A5" s="381"/>
      <c r="B5" s="381"/>
      <c r="C5" s="381"/>
      <c r="D5" s="381"/>
      <c r="E5" s="381"/>
      <c r="F5" s="381"/>
      <c r="G5" s="381"/>
      <c r="H5" s="381"/>
      <c r="I5" s="381"/>
      <c r="J5" s="139"/>
      <c r="K5" s="139"/>
      <c r="L5" s="139"/>
      <c r="M5" s="139"/>
    </row>
    <row r="6" spans="1:13" ht="13.5" thickBot="1">
      <c r="A6" s="381"/>
      <c r="B6" s="121" t="s">
        <v>71</v>
      </c>
      <c r="C6" s="122">
        <v>10008</v>
      </c>
      <c r="D6" s="381"/>
      <c r="E6" s="381"/>
      <c r="F6" s="123" t="s">
        <v>72</v>
      </c>
      <c r="G6" s="738" t="str">
        <f>VLOOKUP($C$6,Kunden,2)</f>
        <v>Schreiter GmbH</v>
      </c>
      <c r="H6" s="739"/>
      <c r="I6" s="381"/>
      <c r="J6" s="139"/>
      <c r="K6" s="139"/>
      <c r="L6" s="139"/>
      <c r="M6" s="139"/>
    </row>
    <row r="7" spans="1:13" ht="13.5" thickBot="1">
      <c r="A7" s="381"/>
      <c r="B7" s="121" t="s">
        <v>211</v>
      </c>
      <c r="C7" s="122"/>
      <c r="D7" s="381"/>
      <c r="E7" s="381"/>
      <c r="F7" s="124" t="s">
        <v>73</v>
      </c>
      <c r="G7" s="736" t="str">
        <f>VLOOKUP($C$6,Kunden,3)</f>
        <v>Petrikirchplatz 3</v>
      </c>
      <c r="H7" s="737"/>
      <c r="I7" s="381"/>
      <c r="J7" s="139"/>
      <c r="K7" s="139"/>
      <c r="L7" s="139"/>
      <c r="M7" s="139"/>
    </row>
    <row r="8" spans="1:13" ht="13.5" thickBot="1">
      <c r="A8" s="381"/>
      <c r="B8" s="381"/>
      <c r="C8" s="381"/>
      <c r="D8" s="381"/>
      <c r="E8" s="381"/>
      <c r="F8" s="124" t="s">
        <v>74</v>
      </c>
      <c r="G8" s="736" t="str">
        <f>VLOOKUP($C$6,Kunden,4)</f>
        <v>59494 Soest</v>
      </c>
      <c r="H8" s="737"/>
      <c r="I8" s="381"/>
      <c r="J8" s="139"/>
      <c r="K8" s="139"/>
      <c r="L8" s="139"/>
      <c r="M8" s="139"/>
    </row>
    <row r="9" spans="1:13" ht="13.5" thickBot="1">
      <c r="A9" s="381"/>
      <c r="B9" s="121" t="s">
        <v>235</v>
      </c>
      <c r="C9" s="121" t="s">
        <v>207</v>
      </c>
      <c r="D9" s="121" t="s">
        <v>222</v>
      </c>
      <c r="E9" s="173" t="s">
        <v>223</v>
      </c>
      <c r="F9" s="124" t="s">
        <v>201</v>
      </c>
      <c r="G9" s="740">
        <f>VLOOKUP($C$6,Kunden,9)</f>
        <v>0.03</v>
      </c>
      <c r="H9" s="741"/>
      <c r="I9" s="381"/>
      <c r="J9" s="139"/>
      <c r="K9" s="139"/>
      <c r="L9" s="139"/>
      <c r="M9" s="139"/>
    </row>
    <row r="10" spans="1:13" ht="13.5" thickBot="1">
      <c r="A10" s="381"/>
      <c r="B10" s="529">
        <v>1002</v>
      </c>
      <c r="C10" s="171">
        <f>B10+1000</f>
        <v>2002</v>
      </c>
      <c r="D10" s="172">
        <f>B10+2000</f>
        <v>3002</v>
      </c>
      <c r="E10" s="172">
        <f>C10+2000</f>
        <v>4002</v>
      </c>
      <c r="F10" s="124" t="s">
        <v>212</v>
      </c>
      <c r="G10" s="736" t="s">
        <v>79</v>
      </c>
      <c r="H10" s="737"/>
      <c r="I10" s="381"/>
      <c r="J10" s="139"/>
      <c r="K10" s="139"/>
      <c r="L10" s="139"/>
      <c r="M10" s="139"/>
    </row>
    <row r="11" spans="1:13" ht="16.5" customHeight="1" thickBot="1">
      <c r="A11" s="381"/>
      <c r="B11" s="376"/>
      <c r="C11" s="381"/>
      <c r="D11" s="381"/>
      <c r="E11" s="381"/>
      <c r="F11" s="125" t="s">
        <v>209</v>
      </c>
      <c r="G11" s="134"/>
      <c r="H11" s="135"/>
      <c r="I11" s="381"/>
      <c r="J11" s="139"/>
      <c r="K11" s="139"/>
      <c r="L11" s="139"/>
      <c r="M11" s="139"/>
    </row>
    <row r="12" spans="1:13" ht="16.5" customHeight="1">
      <c r="A12" s="381"/>
      <c r="B12" s="376"/>
      <c r="C12" s="381"/>
      <c r="D12" s="381"/>
      <c r="E12" s="496"/>
      <c r="F12" s="497"/>
      <c r="G12" s="497"/>
      <c r="H12" s="381"/>
      <c r="I12" s="381"/>
      <c r="J12" s="139"/>
      <c r="K12" s="139"/>
      <c r="L12" s="139"/>
      <c r="M12" s="139"/>
    </row>
    <row r="13" spans="1:13" ht="16.5" customHeight="1">
      <c r="A13" s="381"/>
      <c r="B13" s="376"/>
      <c r="C13" s="381"/>
      <c r="D13" s="381"/>
      <c r="E13" s="496"/>
      <c r="F13" s="497"/>
      <c r="G13" s="497"/>
      <c r="H13" s="381"/>
      <c r="I13" s="381"/>
      <c r="J13" s="139"/>
      <c r="K13" s="139"/>
      <c r="L13" s="139"/>
      <c r="M13" s="139"/>
    </row>
    <row r="14" spans="1:13" ht="7.5" customHeight="1">
      <c r="A14" s="381"/>
      <c r="B14" s="376"/>
      <c r="C14" s="381"/>
      <c r="D14" s="381"/>
      <c r="E14" s="496"/>
      <c r="F14" s="497"/>
      <c r="G14" s="497"/>
      <c r="H14" s="381"/>
      <c r="I14" s="381"/>
      <c r="J14" s="139"/>
      <c r="K14" s="139"/>
      <c r="L14" s="139"/>
      <c r="M14" s="139"/>
    </row>
    <row r="15" spans="1:13" ht="5.25" customHeight="1" thickBot="1">
      <c r="A15" s="381"/>
      <c r="B15" s="376" t="b">
        <v>0</v>
      </c>
      <c r="C15" s="376" t="b">
        <v>0</v>
      </c>
      <c r="D15" s="376" t="b">
        <v>0</v>
      </c>
      <c r="E15" s="376" t="b">
        <v>0</v>
      </c>
      <c r="F15" s="376">
        <v>1</v>
      </c>
      <c r="G15" s="381"/>
      <c r="H15" s="381"/>
      <c r="I15" s="381"/>
      <c r="J15" s="139"/>
      <c r="K15" s="139"/>
      <c r="L15" s="139"/>
      <c r="M15" s="139"/>
    </row>
    <row r="16" spans="1:13" ht="12.75">
      <c r="A16" s="381"/>
      <c r="B16" s="123" t="s">
        <v>368</v>
      </c>
      <c r="C16" s="427" t="s">
        <v>366</v>
      </c>
      <c r="D16" s="127" t="s">
        <v>206</v>
      </c>
      <c r="E16" s="127" t="s">
        <v>208</v>
      </c>
      <c r="F16" s="127" t="s">
        <v>1</v>
      </c>
      <c r="G16" s="127" t="s">
        <v>205</v>
      </c>
      <c r="H16" s="127" t="s">
        <v>52</v>
      </c>
      <c r="I16" s="128" t="s">
        <v>214</v>
      </c>
      <c r="J16" s="139"/>
      <c r="K16" s="139"/>
      <c r="L16" s="139"/>
      <c r="M16" s="139"/>
    </row>
    <row r="17" spans="1:13" ht="12.75">
      <c r="A17" s="381"/>
      <c r="B17" s="129" t="s">
        <v>76</v>
      </c>
      <c r="C17" s="115"/>
      <c r="D17" s="130"/>
      <c r="E17" s="126">
        <f>IF(C17="","",VLOOKUP($C17,Artikel,6))</f>
      </c>
      <c r="F17" s="116">
        <f>IF(C17="","",VLOOKUP(C17,Artikel,2))</f>
      </c>
      <c r="G17" s="126">
        <f>IF(C17="","",VLOOKUP($C17,Artikel,3)&amp;" Stück")</f>
      </c>
      <c r="H17" s="117">
        <f>IF(C17="","",VLOOKUP($C17,Artikel,5))</f>
      </c>
      <c r="I17" s="530">
        <f>artikelrabatt(C17)</f>
      </c>
      <c r="J17" s="139"/>
      <c r="K17" s="139"/>
      <c r="L17" s="139"/>
      <c r="M17" s="139"/>
    </row>
    <row r="18" spans="1:13" ht="12.75">
      <c r="A18" s="381"/>
      <c r="B18" s="129" t="s">
        <v>77</v>
      </c>
      <c r="C18" s="115"/>
      <c r="D18" s="130"/>
      <c r="E18" s="126">
        <f>IF(C18="","",VLOOKUP($C18,Artikel,6))</f>
      </c>
      <c r="F18" s="116">
        <f>IF(C18="","",VLOOKUP(C18,Artikel,2))</f>
      </c>
      <c r="G18" s="126">
        <f>IF(C18="","",VLOOKUP($C18,Artikel,3)&amp;" Stück")</f>
      </c>
      <c r="H18" s="117">
        <f>IF(C18="","",VLOOKUP($C18,Artikel,5))</f>
      </c>
      <c r="I18" s="530">
        <f>artikelrabatt(C18)</f>
      </c>
      <c r="J18" s="139"/>
      <c r="K18" s="139"/>
      <c r="L18" s="139"/>
      <c r="M18" s="139"/>
    </row>
    <row r="19" spans="1:13" ht="12.75">
      <c r="A19" s="381"/>
      <c r="B19" s="129" t="s">
        <v>367</v>
      </c>
      <c r="C19" s="115"/>
      <c r="D19" s="130"/>
      <c r="E19" s="126">
        <f>IF(C19="","",VLOOKUP($C19,Artikel,6))</f>
      </c>
      <c r="F19" s="116">
        <f>IF(C19="","",VLOOKUP(C19,Artikel,2))</f>
      </c>
      <c r="G19" s="126">
        <f>IF(C19="","",VLOOKUP($C19,Artikel,3)&amp;" Stück")</f>
      </c>
      <c r="H19" s="117">
        <f>IF(C19="","",VLOOKUP($C19,Artikel,5))</f>
      </c>
      <c r="I19" s="530">
        <f>artikelrabatt(C19)</f>
      </c>
      <c r="J19" s="139"/>
      <c r="K19" s="139"/>
      <c r="L19" s="139"/>
      <c r="M19" s="139"/>
    </row>
    <row r="20" spans="1:13" ht="12.75">
      <c r="A20" s="381"/>
      <c r="B20" s="129" t="s">
        <v>203</v>
      </c>
      <c r="C20" s="115"/>
      <c r="D20" s="130"/>
      <c r="E20" s="126">
        <f>IF(C20="","",VLOOKUP($C20,Artikel,6))</f>
      </c>
      <c r="F20" s="116">
        <f>IF(C20="","",VLOOKUP(C20,Artikel,2))</f>
      </c>
      <c r="G20" s="126">
        <f>IF(C20="","",VLOOKUP($C20,Artikel,3)&amp;" Stück")</f>
      </c>
      <c r="H20" s="117">
        <f>IF(C20="","",VLOOKUP($C20,Artikel,5))</f>
      </c>
      <c r="I20" s="530">
        <f>artikelrabatt(C20)</f>
      </c>
      <c r="J20" s="139"/>
      <c r="K20" s="139"/>
      <c r="L20" s="139"/>
      <c r="M20" s="139"/>
    </row>
    <row r="21" spans="1:13" ht="13.5" thickBot="1">
      <c r="A21" s="381"/>
      <c r="B21" s="363" t="s">
        <v>204</v>
      </c>
      <c r="C21" s="364"/>
      <c r="D21" s="365"/>
      <c r="E21" s="366">
        <f>IF(C21="","",VLOOKUP($C21,Artikel,6))</f>
      </c>
      <c r="F21" s="367">
        <f>IF(C21="","",VLOOKUP(C21,Artikel,2))</f>
      </c>
      <c r="G21" s="366">
        <f>IF(C21="","",VLOOKUP($C21,Artikel,3)&amp;" Stück")</f>
      </c>
      <c r="H21" s="368">
        <f>IF(C21="","",VLOOKUP($C21,Artikel,5))</f>
      </c>
      <c r="I21" s="531">
        <f>artikelrabatt(C21)</f>
      </c>
      <c r="J21" s="139"/>
      <c r="K21" s="139"/>
      <c r="L21" s="139"/>
      <c r="M21" s="139"/>
    </row>
    <row r="22" spans="1:13" ht="12.75">
      <c r="A22" s="381"/>
      <c r="B22" s="381"/>
      <c r="C22" s="381"/>
      <c r="D22" s="381"/>
      <c r="E22" s="381"/>
      <c r="F22" s="381"/>
      <c r="G22" s="381"/>
      <c r="H22" s="381"/>
      <c r="I22" s="381"/>
      <c r="J22" s="139"/>
      <c r="K22" s="139"/>
      <c r="L22" s="139"/>
      <c r="M22" s="139"/>
    </row>
    <row r="23" spans="1:13" ht="12.75">
      <c r="A23" s="381"/>
      <c r="B23" s="381"/>
      <c r="C23" s="381"/>
      <c r="D23" s="381"/>
      <c r="E23" s="381"/>
      <c r="F23" s="381"/>
      <c r="G23" s="381"/>
      <c r="H23" s="381"/>
      <c r="I23" s="381"/>
      <c r="J23" s="139"/>
      <c r="K23" s="139"/>
      <c r="L23" s="139"/>
      <c r="M23" s="139"/>
    </row>
    <row r="24" spans="1:13" ht="12.75">
      <c r="A24" s="381"/>
      <c r="B24" s="381"/>
      <c r="C24" s="381"/>
      <c r="D24" s="381"/>
      <c r="E24" s="381"/>
      <c r="F24" s="381"/>
      <c r="G24" s="381"/>
      <c r="H24" s="381"/>
      <c r="I24" s="381"/>
      <c r="J24" s="139"/>
      <c r="K24" s="139"/>
      <c r="L24" s="139"/>
      <c r="M24" s="139"/>
    </row>
    <row r="25" spans="1:13" ht="12.75">
      <c r="A25" s="381"/>
      <c r="B25" s="381"/>
      <c r="C25" s="381"/>
      <c r="D25" s="381"/>
      <c r="E25" s="381"/>
      <c r="F25" s="381"/>
      <c r="G25" s="381"/>
      <c r="H25" s="381"/>
      <c r="I25" s="381"/>
      <c r="J25" s="139"/>
      <c r="K25" s="139"/>
      <c r="L25" s="139"/>
      <c r="M25" s="139"/>
    </row>
    <row r="26" spans="1:13" ht="12.75">
      <c r="A26" s="381"/>
      <c r="B26" s="381"/>
      <c r="C26" s="381"/>
      <c r="D26" s="381"/>
      <c r="E26" s="381"/>
      <c r="F26" s="381"/>
      <c r="G26" s="381"/>
      <c r="H26" s="381"/>
      <c r="I26" s="381"/>
      <c r="J26" s="139"/>
      <c r="K26" s="139"/>
      <c r="L26" s="139"/>
      <c r="M26" s="139"/>
    </row>
    <row r="27" spans="1:13" ht="12.75">
      <c r="A27" s="381"/>
      <c r="B27" s="381"/>
      <c r="C27" s="381"/>
      <c r="D27" s="381"/>
      <c r="E27" s="381"/>
      <c r="F27" s="381"/>
      <c r="G27" s="381"/>
      <c r="H27" s="381"/>
      <c r="I27" s="381"/>
      <c r="J27" s="139"/>
      <c r="K27" s="139"/>
      <c r="L27" s="139"/>
      <c r="M27" s="139"/>
    </row>
    <row r="28" spans="1:13" ht="12.75">
      <c r="A28" s="381"/>
      <c r="B28" s="381"/>
      <c r="C28" s="381"/>
      <c r="D28" s="381"/>
      <c r="E28" s="381"/>
      <c r="F28" s="381"/>
      <c r="G28" s="381"/>
      <c r="H28" s="381"/>
      <c r="I28" s="381"/>
      <c r="J28" s="139"/>
      <c r="K28" s="139"/>
      <c r="L28" s="139"/>
      <c r="M28" s="139"/>
    </row>
    <row r="29" spans="1:13" ht="12.75">
      <c r="A29" s="381"/>
      <c r="B29" s="381"/>
      <c r="C29" s="381"/>
      <c r="D29" s="381"/>
      <c r="E29" s="381"/>
      <c r="F29" s="381"/>
      <c r="G29" s="381"/>
      <c r="H29" s="381"/>
      <c r="I29" s="381"/>
      <c r="J29" s="139"/>
      <c r="K29" s="139"/>
      <c r="L29" s="139"/>
      <c r="M29" s="139"/>
    </row>
    <row r="30" spans="1:13" ht="12.75">
      <c r="A30" s="381"/>
      <c r="B30" s="381"/>
      <c r="C30" s="381"/>
      <c r="D30" s="381"/>
      <c r="E30" s="381"/>
      <c r="F30" s="381"/>
      <c r="G30" s="381"/>
      <c r="H30" s="381"/>
      <c r="I30" s="381"/>
      <c r="J30" s="139"/>
      <c r="K30" s="139"/>
      <c r="L30" s="139"/>
      <c r="M30" s="139"/>
    </row>
    <row r="31" spans="1:13" ht="12.75">
      <c r="A31" s="381"/>
      <c r="B31" s="381"/>
      <c r="C31" s="381"/>
      <c r="D31" s="381"/>
      <c r="E31" s="381"/>
      <c r="F31" s="381"/>
      <c r="G31" s="381"/>
      <c r="H31" s="381"/>
      <c r="I31" s="381"/>
      <c r="J31" s="139"/>
      <c r="K31" s="139"/>
      <c r="L31" s="139"/>
      <c r="M31" s="139"/>
    </row>
    <row r="32" spans="1:13" ht="12.75">
      <c r="A32" s="381"/>
      <c r="B32" s="381"/>
      <c r="C32" s="381"/>
      <c r="D32" s="381"/>
      <c r="E32" s="381"/>
      <c r="F32" s="381"/>
      <c r="G32" s="381"/>
      <c r="H32" s="381"/>
      <c r="I32" s="381"/>
      <c r="J32" s="139"/>
      <c r="K32" s="139"/>
      <c r="L32" s="139"/>
      <c r="M32" s="139"/>
    </row>
    <row r="33" spans="1:13" ht="12.75">
      <c r="A33" s="381"/>
      <c r="B33" s="381"/>
      <c r="C33" s="381"/>
      <c r="D33" s="381"/>
      <c r="E33" s="381"/>
      <c r="F33" s="381"/>
      <c r="G33" s="381"/>
      <c r="H33" s="381"/>
      <c r="I33" s="381"/>
      <c r="J33" s="139"/>
      <c r="K33" s="139"/>
      <c r="L33" s="139"/>
      <c r="M33" s="139"/>
    </row>
    <row r="34" spans="1:13" ht="12.75">
      <c r="A34" s="381"/>
      <c r="B34" s="381"/>
      <c r="C34" s="381"/>
      <c r="D34" s="381"/>
      <c r="E34" s="381"/>
      <c r="F34" s="381"/>
      <c r="G34" s="381"/>
      <c r="H34" s="381"/>
      <c r="I34" s="381"/>
      <c r="J34" s="139"/>
      <c r="K34" s="139"/>
      <c r="L34" s="139"/>
      <c r="M34" s="139"/>
    </row>
    <row r="35" spans="1:13" ht="12.75">
      <c r="A35" s="381"/>
      <c r="B35" s="381"/>
      <c r="C35" s="381"/>
      <c r="D35" s="381"/>
      <c r="E35" s="381"/>
      <c r="F35" s="381"/>
      <c r="G35" s="381"/>
      <c r="H35" s="381"/>
      <c r="I35" s="381"/>
      <c r="J35" s="139"/>
      <c r="K35" s="139"/>
      <c r="L35" s="139"/>
      <c r="M35" s="139"/>
    </row>
    <row r="36" spans="1:13" ht="12.75">
      <c r="A36" s="381"/>
      <c r="B36" s="381"/>
      <c r="C36" s="381"/>
      <c r="D36" s="381"/>
      <c r="E36" s="381"/>
      <c r="F36" s="381"/>
      <c r="G36" s="381"/>
      <c r="H36" s="381"/>
      <c r="I36" s="381"/>
      <c r="J36" s="139"/>
      <c r="K36" s="139"/>
      <c r="L36" s="139"/>
      <c r="M36" s="139"/>
    </row>
    <row r="37" spans="1:13" ht="12.75">
      <c r="A37" s="381"/>
      <c r="B37" s="381"/>
      <c r="C37" s="381"/>
      <c r="D37" s="381"/>
      <c r="E37" s="381"/>
      <c r="F37" s="381"/>
      <c r="G37" s="381"/>
      <c r="H37" s="381"/>
      <c r="I37" s="381"/>
      <c r="J37" s="139"/>
      <c r="K37" s="139"/>
      <c r="L37" s="139"/>
      <c r="M37" s="139"/>
    </row>
    <row r="38" spans="1:13" ht="12.75">
      <c r="A38" s="381"/>
      <c r="B38" s="381"/>
      <c r="C38" s="381"/>
      <c r="D38" s="381"/>
      <c r="E38" s="381"/>
      <c r="F38" s="381"/>
      <c r="G38" s="381"/>
      <c r="H38" s="381"/>
      <c r="I38" s="381"/>
      <c r="J38" s="139"/>
      <c r="K38" s="139"/>
      <c r="L38" s="139"/>
      <c r="M38" s="139"/>
    </row>
    <row r="39" spans="1:13" ht="12.75">
      <c r="A39" s="381"/>
      <c r="B39" s="381"/>
      <c r="C39" s="381"/>
      <c r="D39" s="381"/>
      <c r="E39" s="381"/>
      <c r="F39" s="381"/>
      <c r="G39" s="381"/>
      <c r="H39" s="381"/>
      <c r="I39" s="381"/>
      <c r="J39" s="139"/>
      <c r="K39" s="139"/>
      <c r="L39" s="139"/>
      <c r="M39" s="139"/>
    </row>
    <row r="40" spans="1:9" ht="12.75">
      <c r="A40" s="381"/>
      <c r="B40" s="381"/>
      <c r="C40" s="381"/>
      <c r="D40" s="381"/>
      <c r="E40" s="381"/>
      <c r="F40" s="381"/>
      <c r="G40" s="381"/>
      <c r="H40" s="381"/>
      <c r="I40" s="381"/>
    </row>
    <row r="41" spans="1:9" ht="12.75">
      <c r="A41" s="381"/>
      <c r="B41" s="381"/>
      <c r="C41" s="381"/>
      <c r="D41" s="381"/>
      <c r="E41" s="381"/>
      <c r="F41" s="381"/>
      <c r="G41" s="381"/>
      <c r="H41" s="381"/>
      <c r="I41" s="381"/>
    </row>
    <row r="42" spans="1:9" ht="12.75">
      <c r="A42" s="381"/>
      <c r="B42" s="381"/>
      <c r="C42" s="381"/>
      <c r="D42" s="381"/>
      <c r="E42" s="381"/>
      <c r="F42" s="381"/>
      <c r="G42" s="381"/>
      <c r="H42" s="381"/>
      <c r="I42" s="381"/>
    </row>
    <row r="43" spans="1:9" ht="12.75">
      <c r="A43" s="381"/>
      <c r="B43" s="381"/>
      <c r="C43" s="381"/>
      <c r="D43" s="381"/>
      <c r="E43" s="381"/>
      <c r="F43" s="381"/>
      <c r="G43" s="381"/>
      <c r="H43" s="381"/>
      <c r="I43" s="381"/>
    </row>
    <row r="44" spans="1:9" ht="12.75">
      <c r="A44" s="381"/>
      <c r="B44" s="381"/>
      <c r="C44" s="381"/>
      <c r="D44" s="381"/>
      <c r="E44" s="381"/>
      <c r="F44" s="381"/>
      <c r="G44" s="381"/>
      <c r="H44" s="381"/>
      <c r="I44" s="381"/>
    </row>
    <row r="45" spans="1:9" ht="12.75">
      <c r="A45" s="381"/>
      <c r="B45" s="381"/>
      <c r="C45" s="381"/>
      <c r="D45" s="381"/>
      <c r="E45" s="381"/>
      <c r="F45" s="381"/>
      <c r="G45" s="381"/>
      <c r="H45" s="381"/>
      <c r="I45" s="381"/>
    </row>
    <row r="46" spans="1:9" ht="12.75">
      <c r="A46" s="381"/>
      <c r="B46" s="381"/>
      <c r="C46" s="381"/>
      <c r="D46" s="381"/>
      <c r="E46" s="381"/>
      <c r="F46" s="381"/>
      <c r="G46" s="381"/>
      <c r="H46" s="381"/>
      <c r="I46" s="381"/>
    </row>
    <row r="47" spans="1:9" ht="12.75">
      <c r="A47" s="381"/>
      <c r="B47" s="381"/>
      <c r="C47" s="381"/>
      <c r="D47" s="381"/>
      <c r="E47" s="381"/>
      <c r="F47" s="381"/>
      <c r="G47" s="381"/>
      <c r="H47" s="381"/>
      <c r="I47" s="381"/>
    </row>
    <row r="48" spans="1:9" ht="12.75">
      <c r="A48" s="381"/>
      <c r="B48" s="381"/>
      <c r="C48" s="381"/>
      <c r="D48" s="381"/>
      <c r="E48" s="381"/>
      <c r="F48" s="381"/>
      <c r="G48" s="381"/>
      <c r="H48" s="381"/>
      <c r="I48" s="381"/>
    </row>
    <row r="49" spans="1:9" ht="12.75">
      <c r="A49" s="381"/>
      <c r="B49" s="381"/>
      <c r="C49" s="381"/>
      <c r="D49" s="381"/>
      <c r="E49" s="381"/>
      <c r="F49" s="381"/>
      <c r="G49" s="381"/>
      <c r="H49" s="381"/>
      <c r="I49" s="381"/>
    </row>
    <row r="50" spans="1:9" ht="12.75">
      <c r="A50" s="381"/>
      <c r="B50" s="381"/>
      <c r="C50" s="381"/>
      <c r="D50" s="381"/>
      <c r="E50" s="381"/>
      <c r="F50" s="381"/>
      <c r="G50" s="381"/>
      <c r="H50" s="381"/>
      <c r="I50" s="381"/>
    </row>
  </sheetData>
  <mergeCells count="6">
    <mergeCell ref="B2:I2"/>
    <mergeCell ref="G10:H10"/>
    <mergeCell ref="G6:H6"/>
    <mergeCell ref="G7:H7"/>
    <mergeCell ref="G8:H8"/>
    <mergeCell ref="G9:H9"/>
  </mergeCells>
  <dataValidations count="3">
    <dataValidation type="list" allowBlank="1" showInputMessage="1" showErrorMessage="1" sqref="G10">
      <formula1>Versandart</formula1>
    </dataValidation>
    <dataValidation type="list" allowBlank="1" showInputMessage="1" showErrorMessage="1" sqref="C6">
      <formula1>KNR</formula1>
    </dataValidation>
    <dataValidation type="list" allowBlank="1" showInputMessage="1" showErrorMessage="1" sqref="C17:C21">
      <formula1>ANR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4"/>
  <dimension ref="A1:G75"/>
  <sheetViews>
    <sheetView showGridLines="0" showRowColHeaders="0" workbookViewId="0" topLeftCell="A1">
      <selection activeCell="A1" sqref="A1:F1"/>
    </sheetView>
  </sheetViews>
  <sheetFormatPr defaultColWidth="11.421875" defaultRowHeight="12.75"/>
  <cols>
    <col min="1" max="1" width="6.00390625" style="0" customWidth="1"/>
    <col min="3" max="3" width="34.7109375" style="0" customWidth="1"/>
    <col min="4" max="4" width="15.421875" style="0" customWidth="1"/>
    <col min="5" max="5" width="11.28125" style="0" customWidth="1"/>
    <col min="6" max="6" width="10.140625" style="0" customWidth="1"/>
    <col min="7" max="7" width="12.140625" style="0" bestFit="1" customWidth="1"/>
  </cols>
  <sheetData>
    <row r="1" spans="1:6" ht="30.75" thickBot="1">
      <c r="A1" s="742" t="s">
        <v>41</v>
      </c>
      <c r="B1" s="743"/>
      <c r="C1" s="743"/>
      <c r="D1" s="743"/>
      <c r="E1" s="743"/>
      <c r="F1" s="744"/>
    </row>
    <row r="2" spans="1:7" ht="12.75">
      <c r="A2" s="689" t="s">
        <v>42</v>
      </c>
      <c r="B2" s="689"/>
      <c r="C2" s="689"/>
      <c r="D2" s="689"/>
      <c r="E2" s="689"/>
      <c r="F2" s="689"/>
      <c r="G2" s="8"/>
    </row>
    <row r="3" spans="1:7" ht="12.75">
      <c r="A3" s="9"/>
      <c r="C3" s="10"/>
      <c r="D3" s="10"/>
      <c r="G3" s="8"/>
    </row>
    <row r="4" spans="1:7" ht="12.75">
      <c r="A4" s="690" t="s">
        <v>43</v>
      </c>
      <c r="B4" s="690"/>
      <c r="C4" s="690"/>
      <c r="D4" s="10"/>
      <c r="G4" s="8"/>
    </row>
    <row r="5" spans="1:7" ht="12.75">
      <c r="A5" s="11"/>
      <c r="B5" s="12"/>
      <c r="C5" s="13"/>
      <c r="D5" s="10"/>
      <c r="G5" s="8"/>
    </row>
    <row r="6" spans="1:7" ht="12.75">
      <c r="A6" s="9"/>
      <c r="C6" s="10"/>
      <c r="D6" s="10"/>
      <c r="G6" s="8"/>
    </row>
    <row r="7" spans="4:7" ht="12.75">
      <c r="D7" s="10"/>
      <c r="G7" s="8"/>
    </row>
    <row r="8" spans="1:7" ht="15">
      <c r="A8" s="691">
        <f>IF(C17="","",Verkauf!G6)</f>
      </c>
      <c r="B8" s="691"/>
      <c r="C8" s="691"/>
      <c r="D8" s="10"/>
      <c r="G8" s="8"/>
    </row>
    <row r="9" spans="1:7" ht="15">
      <c r="A9" s="200">
        <f>IF(C17="","",Verkauf!G7)</f>
      </c>
      <c r="B9" s="200"/>
      <c r="C9" s="200"/>
      <c r="D9" s="10"/>
      <c r="G9" s="8"/>
    </row>
    <row r="10" spans="1:7" ht="15">
      <c r="A10" s="691">
        <f>IF(C17="","",Verkauf!G8)</f>
      </c>
      <c r="B10" s="691"/>
      <c r="C10" s="691"/>
      <c r="D10" s="10"/>
      <c r="G10" s="8"/>
    </row>
    <row r="11" spans="1:7" ht="12.75">
      <c r="A11" s="14"/>
      <c r="C11" s="10"/>
      <c r="D11" s="10"/>
      <c r="G11" s="8"/>
    </row>
    <row r="12" spans="1:7" ht="12.75">
      <c r="A12" s="14"/>
      <c r="C12" s="10"/>
      <c r="D12" s="10"/>
      <c r="G12" s="8"/>
    </row>
    <row r="13" spans="1:7" ht="12.75">
      <c r="A13" s="15"/>
      <c r="B13" s="16"/>
      <c r="C13" s="17"/>
      <c r="D13" s="10"/>
      <c r="G13" s="8"/>
    </row>
    <row r="14" spans="1:7" ht="12.75">
      <c r="A14" s="9"/>
      <c r="C14" s="10"/>
      <c r="D14" s="10"/>
      <c r="G14" s="8"/>
    </row>
    <row r="15" spans="1:7" ht="6.75" customHeight="1" thickBot="1">
      <c r="A15" s="9"/>
      <c r="C15" s="10"/>
      <c r="D15" s="10"/>
      <c r="G15" s="8"/>
    </row>
    <row r="16" spans="1:7" ht="15.75">
      <c r="A16" s="158" t="s">
        <v>44</v>
      </c>
      <c r="B16" s="159"/>
      <c r="C16" s="160" t="s">
        <v>8</v>
      </c>
      <c r="D16" s="161" t="s">
        <v>45</v>
      </c>
      <c r="E16" s="159"/>
      <c r="F16" s="167" t="s">
        <v>46</v>
      </c>
      <c r="G16" s="8"/>
    </row>
    <row r="17" spans="1:7" s="198" customFormat="1" ht="12" thickBot="1">
      <c r="A17" s="192"/>
      <c r="B17" s="194"/>
      <c r="C17" s="195">
        <f>IF(Verkauf!B15=TRUE,Verkauf!C6,"")</f>
      </c>
      <c r="D17" s="196">
        <f>IF(C17="","",VLOOKUP(Verkauf!F15,BeraterVerkauf,3))</f>
      </c>
      <c r="E17" s="194"/>
      <c r="F17" s="197"/>
      <c r="G17" s="199"/>
    </row>
    <row r="18" spans="1:7" ht="15.75">
      <c r="A18" s="162"/>
      <c r="B18" s="143"/>
      <c r="C18" s="181"/>
      <c r="D18" s="162"/>
      <c r="E18" s="143"/>
      <c r="F18" s="166"/>
      <c r="G18" s="8"/>
    </row>
    <row r="19" spans="1:7" ht="22.5">
      <c r="A19" s="18" t="str">
        <f>"Angebot-Nr. "&amp;IF(C17="","",Verkauf!B10)</f>
        <v>Angebot-Nr. </v>
      </c>
      <c r="B19" s="143"/>
      <c r="C19" s="181"/>
      <c r="D19" s="162"/>
      <c r="E19" s="143"/>
      <c r="F19" s="166"/>
      <c r="G19" s="8"/>
    </row>
    <row r="20" spans="2:7" ht="15.75">
      <c r="B20" s="143"/>
      <c r="C20" s="181"/>
      <c r="D20" s="162"/>
      <c r="E20" s="143"/>
      <c r="F20" s="166"/>
      <c r="G20" s="8"/>
    </row>
    <row r="21" spans="1:7" ht="15.75">
      <c r="A21" s="162"/>
      <c r="B21" s="143"/>
      <c r="C21" s="181"/>
      <c r="D21" s="162"/>
      <c r="E21" s="143"/>
      <c r="F21" s="166"/>
      <c r="G21" s="8"/>
    </row>
    <row r="22" spans="1:7" ht="15.75">
      <c r="A22" s="398" t="s">
        <v>236</v>
      </c>
      <c r="B22" s="399"/>
      <c r="C22" s="181"/>
      <c r="D22" s="400"/>
      <c r="E22" s="399"/>
      <c r="F22" s="401"/>
      <c r="G22" s="8"/>
    </row>
    <row r="23" spans="1:7" ht="15.75">
      <c r="A23" s="402"/>
      <c r="B23" s="399"/>
      <c r="C23" s="403"/>
      <c r="D23" s="404"/>
      <c r="E23" s="399"/>
      <c r="F23" s="399"/>
      <c r="G23" s="8"/>
    </row>
    <row r="24" spans="1:7" ht="15.75">
      <c r="A24" s="398" t="s">
        <v>237</v>
      </c>
      <c r="B24" s="399"/>
      <c r="C24" s="403"/>
      <c r="D24" s="404"/>
      <c r="E24" s="399"/>
      <c r="F24" s="399"/>
      <c r="G24" s="8"/>
    </row>
    <row r="25" spans="1:7" ht="15.75">
      <c r="A25" s="398" t="s">
        <v>238</v>
      </c>
      <c r="B25" s="399"/>
      <c r="C25" s="403"/>
      <c r="D25" s="404"/>
      <c r="E25" s="399"/>
      <c r="F25" s="399"/>
      <c r="G25" s="8"/>
    </row>
    <row r="26" spans="1:7" ht="15.75">
      <c r="A26" s="179"/>
      <c r="B26" s="143"/>
      <c r="C26" s="180"/>
      <c r="D26" s="147"/>
      <c r="E26" s="143"/>
      <c r="F26" s="143"/>
      <c r="G26" s="8"/>
    </row>
    <row r="27" spans="1:7" ht="15.75">
      <c r="A27" s="174" t="s">
        <v>49</v>
      </c>
      <c r="B27" s="175" t="s">
        <v>50</v>
      </c>
      <c r="C27" s="176" t="s">
        <v>1</v>
      </c>
      <c r="D27" s="177" t="s">
        <v>51</v>
      </c>
      <c r="E27" s="177" t="s">
        <v>52</v>
      </c>
      <c r="F27" s="178" t="s">
        <v>13</v>
      </c>
      <c r="G27" s="8"/>
    </row>
    <row r="28" spans="1:7" ht="4.5" customHeight="1">
      <c r="A28" s="154"/>
      <c r="B28" s="34"/>
      <c r="C28" s="35"/>
      <c r="D28" s="36"/>
      <c r="E28" s="143"/>
      <c r="F28" s="168"/>
      <c r="G28" s="8"/>
    </row>
    <row r="29" spans="1:7" ht="12.75">
      <c r="A29" s="156">
        <f>IF(C17="","",1)</f>
      </c>
      <c r="B29" s="131">
        <f>IF($A29="","",Verkauf!C17)</f>
      </c>
      <c r="C29" s="132">
        <f>IF($A29="","",Verkauf!F17)</f>
      </c>
      <c r="D29" s="132">
        <f>IF($A29="","",Verkauf!G17)</f>
      </c>
      <c r="E29" s="133">
        <f>IF($A29="","",Verkauf!H17)</f>
      </c>
      <c r="F29" s="169">
        <f>IF($A29="","",Verkauf!I17)</f>
      </c>
      <c r="G29" s="8"/>
    </row>
    <row r="30" spans="1:7" ht="12.75">
      <c r="A30" s="156">
        <f>IF(AND(Verkauf!C18&lt;&gt;"",$C$17&lt;&gt;""),A29+1,"")</f>
      </c>
      <c r="B30" s="131">
        <f>IF($A30="","",Verkauf!C18)</f>
      </c>
      <c r="C30" s="132">
        <f>IF($A30="","",Verkauf!F18)</f>
      </c>
      <c r="D30" s="132">
        <f>IF($A30="","",Verkauf!G18)</f>
      </c>
      <c r="E30" s="133">
        <f>IF($A30="","",Verkauf!H18)</f>
      </c>
      <c r="F30" s="169">
        <f>IF($A30="","",Verkauf!I18)</f>
      </c>
      <c r="G30" s="8"/>
    </row>
    <row r="31" spans="1:7" ht="12.75">
      <c r="A31" s="156">
        <f>IF(AND(Verkauf!C19&lt;&gt;"",$C$17&lt;&gt;""),A30+1,"")</f>
      </c>
      <c r="B31" s="131">
        <f>IF($A31="","",Verkauf!C19)</f>
      </c>
      <c r="C31" s="132">
        <f>IF($A31="","",Verkauf!F19)</f>
      </c>
      <c r="D31" s="132">
        <f>IF($A31="","",Verkauf!G19)</f>
      </c>
      <c r="E31" s="133">
        <f>IF($A31="","",Verkauf!H19)</f>
      </c>
      <c r="F31" s="169">
        <f>IF($A31="","",Verkauf!I19)</f>
      </c>
      <c r="G31" s="8"/>
    </row>
    <row r="32" spans="1:7" ht="12.75">
      <c r="A32" s="156">
        <f>IF(AND(Verkauf!C20&lt;&gt;"",$C$17&lt;&gt;""),A31+1,"")</f>
      </c>
      <c r="B32" s="131">
        <f>IF($A32="","",Verkauf!C20)</f>
      </c>
      <c r="C32" s="132">
        <f>IF($A32="","",Verkauf!F20)</f>
      </c>
      <c r="D32" s="132">
        <f>IF($A32="","",Verkauf!G20)</f>
      </c>
      <c r="E32" s="133">
        <f>IF($A32="","",Verkauf!H20)</f>
      </c>
      <c r="F32" s="169">
        <f>IF($A32="","",Verkauf!I20)</f>
      </c>
      <c r="G32" s="8"/>
    </row>
    <row r="33" spans="1:7" ht="12.75">
      <c r="A33" s="156">
        <f>IF(AND(Verkauf!C21&lt;&gt;"",$C$17&lt;&gt;""),A32+1,"")</f>
      </c>
      <c r="B33" s="131">
        <f>IF($A33="","",Verkauf!C21)</f>
      </c>
      <c r="C33" s="132">
        <f>IF($A33="","",Verkauf!F21)</f>
      </c>
      <c r="D33" s="132">
        <f>IF($A33="","",Verkauf!G21)</f>
      </c>
      <c r="E33" s="133">
        <f>IF($A33="","",Verkauf!H21)</f>
      </c>
      <c r="F33" s="169">
        <f>IF($A33="","",Verkauf!I21)</f>
      </c>
      <c r="G33" s="8"/>
    </row>
    <row r="34" ht="12.75">
      <c r="G34" s="8"/>
    </row>
    <row r="35" spans="1:7" ht="15.75" customHeight="1">
      <c r="A35" s="710" t="str">
        <f>"Zusätzlich erhalten Sie einen Kundenrabatt in Höhe von "&amp;Verkauf!G9*100&amp;" %."</f>
        <v>Zusätzlich erhalten Sie einen Kundenrabatt in Höhe von 3 %.</v>
      </c>
      <c r="B35" s="710"/>
      <c r="C35" s="710"/>
      <c r="D35" s="710"/>
      <c r="E35" s="710"/>
      <c r="F35" s="710"/>
      <c r="G35" s="8"/>
    </row>
    <row r="36" spans="1:7" ht="15.75" customHeight="1">
      <c r="A36" s="185"/>
      <c r="B36" s="185"/>
      <c r="C36" s="185"/>
      <c r="D36" s="185"/>
      <c r="E36" s="185"/>
      <c r="F36" s="185"/>
      <c r="G36" s="8"/>
    </row>
    <row r="37" spans="1:7" ht="15.75" customHeight="1">
      <c r="A37" s="746" t="s">
        <v>239</v>
      </c>
      <c r="B37" s="746"/>
      <c r="C37" s="746"/>
      <c r="D37" s="746"/>
      <c r="E37" s="746"/>
      <c r="F37" s="746"/>
      <c r="G37" s="8"/>
    </row>
    <row r="38" spans="1:7" ht="12.75">
      <c r="A38" s="747" t="s">
        <v>244</v>
      </c>
      <c r="B38" s="747"/>
      <c r="C38" s="747"/>
      <c r="D38" s="747"/>
      <c r="E38" s="747"/>
      <c r="F38" s="747"/>
      <c r="G38" s="8"/>
    </row>
    <row r="39" spans="1:7" ht="12.75">
      <c r="A39" s="163"/>
      <c r="B39" s="186"/>
      <c r="C39" s="187"/>
      <c r="D39" s="187"/>
      <c r="E39" s="186"/>
      <c r="F39" s="186"/>
      <c r="G39" s="8"/>
    </row>
    <row r="40" spans="1:7" ht="12.75">
      <c r="A40" s="163"/>
      <c r="B40" s="186"/>
      <c r="C40" s="187"/>
      <c r="D40" s="187"/>
      <c r="E40" s="186"/>
      <c r="F40" s="186"/>
      <c r="G40" s="8"/>
    </row>
    <row r="41" spans="1:7" ht="12.75">
      <c r="A41" s="163"/>
      <c r="B41" s="186"/>
      <c r="C41" s="187"/>
      <c r="D41" s="187"/>
      <c r="E41" s="186"/>
      <c r="F41" s="186"/>
      <c r="G41" s="8"/>
    </row>
    <row r="42" spans="1:7" ht="12.75">
      <c r="A42" s="163"/>
      <c r="B42" s="186"/>
      <c r="C42" s="187"/>
      <c r="D42" s="187"/>
      <c r="E42" s="186"/>
      <c r="F42" s="186"/>
      <c r="G42" s="8"/>
    </row>
    <row r="43" spans="1:7" ht="12.75">
      <c r="A43" s="163"/>
      <c r="B43" s="186"/>
      <c r="C43" s="187"/>
      <c r="D43" s="187"/>
      <c r="E43" s="186"/>
      <c r="F43" s="186"/>
      <c r="G43" s="8"/>
    </row>
    <row r="44" spans="1:7" ht="12.75">
      <c r="A44" s="710" t="s">
        <v>240</v>
      </c>
      <c r="B44" s="710"/>
      <c r="C44" s="710"/>
      <c r="D44" s="710"/>
      <c r="E44" s="710"/>
      <c r="F44" s="710"/>
      <c r="G44" s="8"/>
    </row>
    <row r="45" spans="1:7" ht="12.75">
      <c r="A45" s="188"/>
      <c r="B45" s="186"/>
      <c r="C45" s="187"/>
      <c r="D45" s="187"/>
      <c r="E45" s="186"/>
      <c r="F45" s="186"/>
      <c r="G45" s="8"/>
    </row>
    <row r="46" spans="1:7" ht="12.75">
      <c r="A46" s="710" t="s">
        <v>241</v>
      </c>
      <c r="B46" s="710"/>
      <c r="C46" s="710"/>
      <c r="D46" s="710"/>
      <c r="E46" s="710"/>
      <c r="F46" s="710"/>
      <c r="G46" s="8"/>
    </row>
    <row r="47" spans="1:7" ht="12.75">
      <c r="A47" s="189"/>
      <c r="B47" s="190"/>
      <c r="C47" s="191"/>
      <c r="D47" s="191"/>
      <c r="E47" s="190"/>
      <c r="F47" s="190"/>
      <c r="G47" s="8"/>
    </row>
    <row r="48" spans="1:7" ht="22.5">
      <c r="A48" s="745" t="str">
        <f>VLOOKUP(Verkauf!F15,BeraterVerkauf,4)</f>
        <v>W. Kernen</v>
      </c>
      <c r="B48" s="745"/>
      <c r="C48" s="745"/>
      <c r="D48" s="745"/>
      <c r="E48" s="745"/>
      <c r="F48" s="745"/>
      <c r="G48" s="8"/>
    </row>
    <row r="49" spans="1:7" ht="12.75">
      <c r="A49" s="185"/>
      <c r="B49" s="190"/>
      <c r="C49" s="191"/>
      <c r="D49" s="191"/>
      <c r="E49" s="190"/>
      <c r="F49" s="190"/>
      <c r="G49" s="8"/>
    </row>
    <row r="50" spans="1:7" ht="12.75">
      <c r="A50" s="710" t="str">
        <f>VLOOKUP(Verkauf!F15,BeraterVerkauf,5)</f>
        <v>i. A. Willi Kernen</v>
      </c>
      <c r="B50" s="710"/>
      <c r="C50" s="710"/>
      <c r="D50" s="710"/>
      <c r="E50" s="710"/>
      <c r="F50" s="710"/>
      <c r="G50" s="8"/>
    </row>
    <row r="51" spans="1:7" ht="12.75">
      <c r="A51" s="185"/>
      <c r="B51" s="185"/>
      <c r="C51" s="185"/>
      <c r="D51" s="185"/>
      <c r="E51" s="185"/>
      <c r="F51" s="185"/>
      <c r="G51" s="8"/>
    </row>
    <row r="52" spans="1:7" ht="12.75">
      <c r="A52" s="185"/>
      <c r="B52" s="185"/>
      <c r="C52" s="185"/>
      <c r="D52" s="185"/>
      <c r="E52" s="185"/>
      <c r="F52" s="185"/>
      <c r="G52" s="8"/>
    </row>
    <row r="53" spans="1:7" ht="12.75">
      <c r="A53" s="185"/>
      <c r="B53" s="185"/>
      <c r="C53" s="185"/>
      <c r="D53" s="185"/>
      <c r="E53" s="185"/>
      <c r="F53" s="185"/>
      <c r="G53" s="8"/>
    </row>
    <row r="54" spans="1:7" ht="16.5" thickBot="1">
      <c r="A54" s="184"/>
      <c r="B54" s="184"/>
      <c r="C54" s="184"/>
      <c r="D54" s="184"/>
      <c r="E54" s="184"/>
      <c r="F54" s="184"/>
      <c r="G54" s="8"/>
    </row>
    <row r="55" spans="1:7" ht="12.75">
      <c r="A55" s="41" t="s">
        <v>54</v>
      </c>
      <c r="B55" s="42"/>
      <c r="C55" s="43" t="s">
        <v>55</v>
      </c>
      <c r="D55" s="43" t="s">
        <v>56</v>
      </c>
      <c r="E55" s="42" t="s">
        <v>57</v>
      </c>
      <c r="F55" s="44"/>
      <c r="G55" s="8"/>
    </row>
    <row r="56" spans="1:7" ht="12.75">
      <c r="A56" s="9" t="s">
        <v>58</v>
      </c>
      <c r="C56" s="10" t="s">
        <v>59</v>
      </c>
      <c r="D56" s="10" t="s">
        <v>60</v>
      </c>
      <c r="E56" t="s">
        <v>61</v>
      </c>
      <c r="G56" s="8"/>
    </row>
    <row r="57" spans="1:7" ht="12.75">
      <c r="A57" s="9" t="s">
        <v>16</v>
      </c>
      <c r="C57" s="45" t="s">
        <v>62</v>
      </c>
      <c r="D57" s="10" t="s">
        <v>63</v>
      </c>
      <c r="E57" t="s">
        <v>64</v>
      </c>
      <c r="G57" s="8"/>
    </row>
    <row r="58" spans="1:7" ht="12.75">
      <c r="A58" s="9" t="s">
        <v>65</v>
      </c>
      <c r="C58" s="45" t="s">
        <v>66</v>
      </c>
      <c r="D58" s="46" t="s">
        <v>67</v>
      </c>
      <c r="G58" s="8"/>
    </row>
    <row r="59" spans="1:7" ht="12.75">
      <c r="A59" s="9"/>
      <c r="C59" s="10"/>
      <c r="D59" s="10"/>
      <c r="G59" s="8"/>
    </row>
    <row r="60" spans="1:7" ht="12.75">
      <c r="A60" s="9"/>
      <c r="C60" s="10"/>
      <c r="D60" s="10"/>
      <c r="G60" s="8"/>
    </row>
    <row r="61" spans="1:7" ht="12.75">
      <c r="A61" s="9"/>
      <c r="C61" s="10"/>
      <c r="D61" s="10"/>
      <c r="G61" s="8"/>
    </row>
    <row r="62" spans="1:7" ht="12.75">
      <c r="A62" s="9"/>
      <c r="C62" s="10"/>
      <c r="D62" s="10"/>
      <c r="G62" s="8"/>
    </row>
    <row r="63" spans="1:7" ht="12.75">
      <c r="A63" s="9"/>
      <c r="C63" s="10"/>
      <c r="D63" s="10"/>
      <c r="G63" s="8"/>
    </row>
    <row r="64" spans="1:7" ht="12.75">
      <c r="A64" s="9"/>
      <c r="C64" s="10"/>
      <c r="D64" s="10"/>
      <c r="G64" s="8"/>
    </row>
    <row r="65" spans="1:7" ht="12.75">
      <c r="A65" s="9"/>
      <c r="C65" s="10"/>
      <c r="D65" s="10"/>
      <c r="G65" s="8"/>
    </row>
    <row r="66" spans="1:7" ht="12.75">
      <c r="A66" s="9"/>
      <c r="C66" s="10"/>
      <c r="D66" s="10"/>
      <c r="G66" s="8"/>
    </row>
    <row r="67" spans="1:7" ht="12.75">
      <c r="A67" s="9"/>
      <c r="C67" s="10"/>
      <c r="D67" s="10"/>
      <c r="G67" s="8"/>
    </row>
    <row r="68" spans="1:7" ht="12.75">
      <c r="A68" s="9"/>
      <c r="C68" s="10"/>
      <c r="D68" s="10"/>
      <c r="G68" s="8"/>
    </row>
    <row r="69" spans="1:7" ht="12.75">
      <c r="A69" s="9"/>
      <c r="C69" s="10"/>
      <c r="D69" s="10"/>
      <c r="G69" s="8"/>
    </row>
    <row r="70" spans="1:7" ht="12.75">
      <c r="A70" s="9"/>
      <c r="C70" s="10"/>
      <c r="D70" s="10"/>
      <c r="G70" s="8"/>
    </row>
    <row r="71" spans="1:7" ht="12.75">
      <c r="A71" s="9"/>
      <c r="C71" s="10"/>
      <c r="D71" s="10"/>
      <c r="G71" s="8"/>
    </row>
    <row r="72" spans="1:7" ht="12.75">
      <c r="A72" s="9"/>
      <c r="C72" s="10"/>
      <c r="D72" s="10"/>
      <c r="G72" s="8"/>
    </row>
    <row r="75" ht="12.75">
      <c r="G75" s="10"/>
    </row>
  </sheetData>
  <mergeCells count="12">
    <mergeCell ref="A50:F50"/>
    <mergeCell ref="A35:F35"/>
    <mergeCell ref="A37:F37"/>
    <mergeCell ref="A38:F38"/>
    <mergeCell ref="A1:F1"/>
    <mergeCell ref="A44:F44"/>
    <mergeCell ref="A46:F46"/>
    <mergeCell ref="A48:F48"/>
    <mergeCell ref="A2:F2"/>
    <mergeCell ref="A4:C4"/>
    <mergeCell ref="A8:C8"/>
    <mergeCell ref="A10:C10"/>
  </mergeCells>
  <printOptions/>
  <pageMargins left="0.67" right="0.39" top="0.36" bottom="0.24" header="0.22" footer="0.16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dirscorp.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2006-11-29T13:10:53Z</cp:lastPrinted>
  <dcterms:created xsi:type="dcterms:W3CDTF">2006-01-16T16:43:15Z</dcterms:created>
  <dcterms:modified xsi:type="dcterms:W3CDTF">2006-12-11T19:12:50Z</dcterms:modified>
  <cp:category/>
  <cp:version/>
  <cp:contentType/>
  <cp:contentStatus/>
</cp:coreProperties>
</file>